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esse\Desktop\Invoice 2024\"/>
    </mc:Choice>
  </mc:AlternateContent>
  <xr:revisionPtr revIDLastSave="0" documentId="13_ncr:1_{97BD3775-442D-430D-924D-7B65988969CD}" xr6:coauthVersionLast="47" xr6:coauthVersionMax="47" xr10:uidLastSave="{00000000-0000-0000-0000-000000000000}"/>
  <bookViews>
    <workbookView xWindow="-110" yWindow="-110" windowWidth="19420" windowHeight="10300" tabRatio="582" firstSheet="29" activeTab="39" xr2:uid="{00000000-000D-0000-FFFF-FFFF00000000}"/>
  </bookViews>
  <sheets>
    <sheet name="Sales Master" sheetId="7" r:id="rId1"/>
    <sheet name="Delivery Location" sheetId="6" r:id="rId2"/>
    <sheet name="#01" sheetId="108" r:id="rId3"/>
    <sheet name="#02" sheetId="86" r:id="rId4"/>
    <sheet name="#03" sheetId="332" r:id="rId5"/>
    <sheet name="#04" sheetId="83" r:id="rId6"/>
    <sheet name="#05" sheetId="84" r:id="rId7"/>
    <sheet name="#06" sheetId="74" r:id="rId8"/>
    <sheet name="#07" sheetId="73" r:id="rId9"/>
    <sheet name="#08" sheetId="270" r:id="rId10"/>
    <sheet name="#09" sheetId="399" r:id="rId11"/>
    <sheet name="#10" sheetId="618" r:id="rId12"/>
    <sheet name="#12" sheetId="542" r:id="rId13"/>
    <sheet name="#13" sheetId="619" r:id="rId14"/>
    <sheet name="#13 (2)" sheetId="651" r:id="rId15"/>
    <sheet name="#15" sheetId="65" r:id="rId16"/>
    <sheet name="#16" sheetId="66" r:id="rId17"/>
    <sheet name="#17" sheetId="64" r:id="rId18"/>
    <sheet name="#18" sheetId="92" r:id="rId19"/>
    <sheet name="#19" sheetId="480" r:id="rId20"/>
    <sheet name="#20" sheetId="106" r:id="rId21"/>
    <sheet name="#21" sheetId="70" r:id="rId22"/>
    <sheet name="#22" sheetId="376" r:id="rId23"/>
    <sheet name="#23" sheetId="481" r:id="rId24"/>
    <sheet name="#24" sheetId="120" r:id="rId25"/>
    <sheet name="#25" sheetId="113" r:id="rId26"/>
    <sheet name="#27" sheetId="131" r:id="rId27"/>
    <sheet name="#28" sheetId="76" r:id="rId28"/>
    <sheet name="#29" sheetId="77" r:id="rId29"/>
    <sheet name="#31" sheetId="123" r:id="rId30"/>
    <sheet name="#32" sheetId="56" r:id="rId31"/>
    <sheet name="#33" sheetId="366" r:id="rId32"/>
    <sheet name="#34" sheetId="124" r:id="rId33"/>
    <sheet name="#36" sheetId="41" r:id="rId34"/>
    <sheet name="#37" sheetId="527" r:id="rId35"/>
    <sheet name="#38" sheetId="528" r:id="rId36"/>
    <sheet name="#39" sheetId="146" r:id="rId37"/>
    <sheet name="#40" sheetId="36" r:id="rId38"/>
    <sheet name="#41" sheetId="51" r:id="rId39"/>
    <sheet name="#42" sheetId="380" r:id="rId40"/>
    <sheet name="#43" sheetId="387" r:id="rId41"/>
    <sheet name="#44" sheetId="388" r:id="rId42"/>
    <sheet name="#46" sheetId="197" r:id="rId43"/>
    <sheet name="#47" sheetId="136" r:id="rId44"/>
    <sheet name="#48" sheetId="50" r:id="rId45"/>
    <sheet name="#49" sheetId="49" r:id="rId46"/>
    <sheet name="#50" sheetId="617" r:id="rId47"/>
    <sheet name="#51" sheetId="391" r:id="rId48"/>
    <sheet name="#52" sheetId="81" r:id="rId49"/>
    <sheet name="#54" sheetId="117" r:id="rId50"/>
    <sheet name="#55" sheetId="116" r:id="rId51"/>
    <sheet name="#56" sheetId="42" r:id="rId52"/>
    <sheet name="#57" sheetId="130" r:id="rId53"/>
    <sheet name="#58" sheetId="78" r:id="rId54"/>
    <sheet name="#59" sheetId="121" r:id="rId55"/>
    <sheet name="#60" sheetId="396" r:id="rId56"/>
    <sheet name="#61" sheetId="263" r:id="rId57"/>
    <sheet name="#62" sheetId="400" r:id="rId58"/>
    <sheet name="#63" sheetId="52" r:id="rId59"/>
    <sheet name="#64" sheetId="330" r:id="rId60"/>
    <sheet name="#65" sheetId="75" r:id="rId61"/>
    <sheet name="#67" sheetId="97" r:id="rId62"/>
    <sheet name="#68" sheetId="90" r:id="rId63"/>
    <sheet name="#69" sheetId="72" r:id="rId64"/>
    <sheet name="#70" sheetId="401" r:id="rId65"/>
    <sheet name="#71" sheetId="119" r:id="rId66"/>
    <sheet name="#73" sheetId="53" r:id="rId67"/>
    <sheet name="#74" sheetId="45" r:id="rId68"/>
    <sheet name="#75" sheetId="46" r:id="rId69"/>
    <sheet name="#76" sheetId="47" r:id="rId70"/>
    <sheet name="#77" sheetId="409" r:id="rId71"/>
    <sheet name="#78" sheetId="620" r:id="rId72"/>
    <sheet name="#78 (2)" sheetId="642" r:id="rId73"/>
    <sheet name="#79" sheetId="44" r:id="rId74"/>
    <sheet name="#80" sheetId="94" r:id="rId75"/>
    <sheet name="#81" sheetId="67" r:id="rId76"/>
    <sheet name="#84" sheetId="139" r:id="rId77"/>
    <sheet name="#85" sheetId="489" r:id="rId78"/>
    <sheet name="#86" sheetId="68" r:id="rId79"/>
    <sheet name="#87" sheetId="524" r:id="rId80"/>
    <sheet name="#88" sheetId="621" r:id="rId81"/>
    <sheet name="#89" sheetId="329" r:id="rId82"/>
    <sheet name="#89 (2)" sheetId="641" r:id="rId83"/>
    <sheet name="#90" sheetId="96" r:id="rId84"/>
    <sheet name="#91" sheetId="543" r:id="rId85"/>
    <sheet name="#92" sheetId="378" r:id="rId86"/>
    <sheet name="#93" sheetId="102" r:id="rId87"/>
    <sheet name="#94" sheetId="103" r:id="rId88"/>
    <sheet name="#95" sheetId="544" r:id="rId89"/>
    <sheet name="#96" sheetId="494" r:id="rId90"/>
    <sheet name="#97" sheetId="412" r:id="rId91"/>
    <sheet name="#99" sheetId="499" r:id="rId92"/>
    <sheet name="#100" sheetId="525" r:id="rId93"/>
    <sheet name="#101" sheetId="145" r:id="rId94"/>
    <sheet name="#103" sheetId="157" r:id="rId95"/>
    <sheet name="#104" sheetId="171" r:id="rId96"/>
    <sheet name="#105" sheetId="150" r:id="rId97"/>
    <sheet name="#106" sheetId="441" r:id="rId98"/>
    <sheet name="#107" sheetId="442" r:id="rId99"/>
    <sheet name="#108" sheetId="443" r:id="rId100"/>
    <sheet name="#109" sheetId="159" r:id="rId101"/>
    <sheet name="#110" sheetId="477" r:id="rId102"/>
    <sheet name="#111" sheetId="466" r:id="rId103"/>
    <sheet name="#112" sheetId="478" r:id="rId104"/>
    <sheet name="#113" sheetId="413" r:id="rId105"/>
    <sheet name="#114" sheetId="164" r:id="rId106"/>
    <sheet name="#115" sheetId="414" r:id="rId107"/>
    <sheet name="#116" sheetId="416" r:id="rId108"/>
    <sheet name="#117" sheetId="421" r:id="rId109"/>
    <sheet name="#120" sheetId="424" r:id="rId110"/>
    <sheet name="#121" sheetId="169" r:id="rId111"/>
    <sheet name="#122" sheetId="427" r:id="rId112"/>
    <sheet name="#123" sheetId="174" r:id="rId113"/>
    <sheet name="#124" sheetId="176" r:id="rId114"/>
    <sheet name="#125" sheetId="541" r:id="rId115"/>
    <sheet name="#126" sheetId="179" r:id="rId116"/>
    <sheet name="#127" sheetId="180" r:id="rId117"/>
    <sheet name="#128" sheetId="181" r:id="rId118"/>
    <sheet name="#129" sheetId="182" r:id="rId119"/>
    <sheet name="#130" sheetId="184" r:id="rId120"/>
    <sheet name="#131" sheetId="185" r:id="rId121"/>
    <sheet name="#132" sheetId="432" r:id="rId122"/>
    <sheet name="#133" sheetId="187" r:id="rId123"/>
    <sheet name="#134" sheetId="188" r:id="rId124"/>
    <sheet name="#135" sheetId="189" r:id="rId125"/>
    <sheet name="#137" sheetId="433" r:id="rId126"/>
    <sheet name="#140" sheetId="429" r:id="rId127"/>
    <sheet name="#142" sheetId="428" r:id="rId128"/>
    <sheet name="#143" sheetId="436" r:id="rId129"/>
    <sheet name="#144" sheetId="445" r:id="rId130"/>
    <sheet name="#145" sheetId="204" r:id="rId131"/>
    <sheet name="#146" sheetId="453" r:id="rId132"/>
    <sheet name="#147" sheetId="434" r:id="rId133"/>
    <sheet name="#148" sheetId="483" r:id="rId134"/>
    <sheet name="#150" sheetId="209" r:id="rId135"/>
    <sheet name="#151" sheetId="422" r:id="rId136"/>
    <sheet name="#152" sheetId="214" r:id="rId137"/>
    <sheet name="#153" sheetId="215" r:id="rId138"/>
    <sheet name="#154" sheetId="216" r:id="rId139"/>
    <sheet name="#155" sheetId="217" r:id="rId140"/>
    <sheet name="#156" sheetId="370" r:id="rId141"/>
    <sheet name="#157" sheetId="219" r:id="rId142"/>
    <sheet name="#158" sheetId="221" r:id="rId143"/>
    <sheet name="#159" sheetId="222" r:id="rId144"/>
    <sheet name="#160" sheetId="625" r:id="rId145"/>
    <sheet name="#162" sheetId="501" r:id="rId146"/>
    <sheet name="#163" sheetId="227" r:id="rId147"/>
    <sheet name="#164" sheetId="228" r:id="rId148"/>
    <sheet name="#165" sheetId="230" r:id="rId149"/>
    <sheet name="#166" sheetId="232" r:id="rId150"/>
    <sheet name="#166 (2)" sheetId="650" r:id="rId151"/>
    <sheet name="#167" sheetId="331" r:id="rId152"/>
    <sheet name="#168" sheetId="235" r:id="rId153"/>
    <sheet name="#169" sheetId="278" r:id="rId154"/>
    <sheet name="#170" sheetId="624" r:id="rId155"/>
    <sheet name="#171" sheetId="249" r:id="rId156"/>
    <sheet name="#172" sheetId="248" r:id="rId157"/>
    <sheet name="#173" sheetId="246" r:id="rId158"/>
    <sheet name="#173 (2)" sheetId="647" r:id="rId159"/>
    <sheet name="#174" sheetId="486" r:id="rId160"/>
    <sheet name="#175" sheetId="239" r:id="rId161"/>
    <sheet name="#176" sheetId="238" r:id="rId162"/>
    <sheet name="#178" sheetId="236" r:id="rId163"/>
    <sheet name="#179" sheetId="233" r:id="rId164"/>
    <sheet name="#181" sheetId="237" r:id="rId165"/>
    <sheet name="#182" sheetId="452" r:id="rId166"/>
    <sheet name="#185" sheetId="599" r:id="rId167"/>
    <sheet name="#186" sheetId="255" r:id="rId168"/>
    <sheet name="#187" sheetId="268" r:id="rId169"/>
    <sheet name="#188" sheetId="269" r:id="rId170"/>
    <sheet name="#189" sheetId="273" r:id="rId171"/>
    <sheet name="#190" sheetId="274" r:id="rId172"/>
    <sheet name="#191" sheetId="276" r:id="rId173"/>
    <sheet name="#193" sheetId="277" r:id="rId174"/>
    <sheet name="#194" sheetId="280" r:id="rId175"/>
    <sheet name="#195" sheetId="281" r:id="rId176"/>
    <sheet name="#196" sheetId="282" r:id="rId177"/>
    <sheet name="#197" sheetId="283" r:id="rId178"/>
    <sheet name="#198" sheetId="285" r:id="rId179"/>
    <sheet name="#199" sheetId="286" r:id="rId180"/>
    <sheet name="#200" sheetId="287" r:id="rId181"/>
    <sheet name="#201" sheetId="290" r:id="rId182"/>
    <sheet name="#202" sheetId="291" r:id="rId183"/>
    <sheet name="#203" sheetId="292" r:id="rId184"/>
    <sheet name="#204" sheetId="293" r:id="rId185"/>
    <sheet name="#205" sheetId="294" r:id="rId186"/>
    <sheet name="#207" sheetId="311" r:id="rId187"/>
    <sheet name="#208" sheetId="314" r:id="rId188"/>
    <sheet name="#210" sheetId="321" r:id="rId189"/>
    <sheet name="#211" sheetId="334" r:id="rId190"/>
    <sheet name="#212" sheetId="340" r:id="rId191"/>
    <sheet name="#213" sheetId="339" r:id="rId192"/>
    <sheet name="#213 (2)" sheetId="648" r:id="rId193"/>
    <sheet name="#214" sheetId="338" r:id="rId194"/>
    <sheet name="#215" sheetId="342" r:id="rId195"/>
    <sheet name="#216" sheetId="346" r:id="rId196"/>
    <sheet name="#217" sheetId="426" r:id="rId197"/>
    <sheet name="#218" sheetId="511" r:id="rId198"/>
    <sheet name="#219" sheetId="512" r:id="rId199"/>
    <sheet name="#221" sheetId="519" r:id="rId200"/>
    <sheet name="#222" sheetId="520" r:id="rId201"/>
    <sheet name="#223" sheetId="521" r:id="rId202"/>
    <sheet name="#224" sheetId="522" r:id="rId203"/>
    <sheet name="#225" sheetId="523" r:id="rId204"/>
    <sheet name="#226" sheetId="534" r:id="rId205"/>
    <sheet name="#227" sheetId="537" r:id="rId206"/>
    <sheet name="#228" sheetId="546" r:id="rId207"/>
    <sheet name="#229" sheetId="549" r:id="rId208"/>
    <sheet name="#230" sheetId="550" r:id="rId209"/>
    <sheet name="#231" sheetId="551" r:id="rId210"/>
    <sheet name="#232" sheetId="556" r:id="rId211"/>
    <sheet name="#233" sheetId="560" r:id="rId212"/>
    <sheet name="#234" sheetId="570" r:id="rId213"/>
    <sheet name="#235" sheetId="573" r:id="rId214"/>
    <sheet name="#236" sheetId="574" r:id="rId215"/>
    <sheet name="#237" sheetId="579" r:id="rId216"/>
    <sheet name="#238" sheetId="581" r:id="rId217"/>
    <sheet name="#239" sheetId="583" r:id="rId218"/>
    <sheet name="#240" sheetId="585" r:id="rId219"/>
    <sheet name="#241" sheetId="588" r:id="rId220"/>
    <sheet name="#242" sheetId="589" r:id="rId221"/>
    <sheet name="#243" sheetId="590" r:id="rId222"/>
    <sheet name="#244" sheetId="594" r:id="rId223"/>
    <sheet name="#244 (2)" sheetId="652" r:id="rId224"/>
    <sheet name="#245" sheetId="603" r:id="rId225"/>
    <sheet name="#246" sheetId="604" r:id="rId226"/>
    <sheet name="#247" sheetId="608" r:id="rId227"/>
    <sheet name="#248" sheetId="614" r:id="rId228"/>
    <sheet name="#249" sheetId="623" r:id="rId229"/>
    <sheet name="#250" sheetId="626" r:id="rId230"/>
    <sheet name="#251" sheetId="633" r:id="rId231"/>
    <sheet name="#252" sheetId="634" r:id="rId232"/>
    <sheet name="#253" sheetId="635" r:id="rId233"/>
    <sheet name="#254" sheetId="636" r:id="rId234"/>
    <sheet name="#255" sheetId="640" r:id="rId235"/>
    <sheet name="#255 (2)" sheetId="649" r:id="rId236"/>
    <sheet name="#261" sheetId="643" r:id="rId237"/>
    <sheet name="#261 (4)" sheetId="646" r:id="rId238"/>
    <sheet name="#261 (2)" sheetId="644" r:id="rId239"/>
    <sheet name="#261 (3)" sheetId="645" r:id="rId240"/>
    <sheet name="SAMPLE" sheetId="243" r:id="rId241"/>
    <sheet name="#30" sheetId="82" r:id="rId242"/>
    <sheet name="sEFONG" sheetId="178" r:id="rId243"/>
    <sheet name="City Energy" sheetId="320" r:id="rId244"/>
    <sheet name="Sheet1" sheetId="335" r:id="rId245"/>
  </sheets>
  <externalReferences>
    <externalReference r:id="rId246"/>
    <externalReference r:id="rId247"/>
    <externalReference r:id="rId248"/>
  </externalReferences>
  <definedNames>
    <definedName name="_xlnm._FilterDatabase" localSheetId="1" hidden="1">'Delivery Location'!$A$3:$Z$263</definedName>
    <definedName name="_xlnm._FilterDatabase" localSheetId="0" hidden="1">'Sales Master'!$A$2:$DA$537</definedName>
    <definedName name="_xlnm.Print_Area" localSheetId="2">'#01'!$B$1:$L$42</definedName>
    <definedName name="_xlnm.Print_Area" localSheetId="3">'#02'!$B$1:$L$39</definedName>
    <definedName name="_xlnm.Print_Area" localSheetId="4">'#03'!$B$1:$L$42</definedName>
    <definedName name="_xlnm.Print_Area" localSheetId="5">'#04'!$B$1:$L$52</definedName>
    <definedName name="_xlnm.Print_Area" localSheetId="6">'#05'!$B$1:$L$47</definedName>
    <definedName name="_xlnm.Print_Area" localSheetId="7">'#06'!$B$7:$L$51</definedName>
    <definedName name="_xlnm.Print_Area" localSheetId="8">'#07'!$B$8:$L$50</definedName>
    <definedName name="_xlnm.Print_Area" localSheetId="9">'#08'!$B$1:$L$48</definedName>
    <definedName name="_xlnm.Print_Area" localSheetId="10">'#09'!$B$1:$L$51</definedName>
    <definedName name="_xlnm.Print_Area" localSheetId="11">'#10'!$B$1:$L$50</definedName>
    <definedName name="_xlnm.Print_Area" localSheetId="92">'#100'!$B$1:$L$43</definedName>
    <definedName name="_xlnm.Print_Area" localSheetId="93">'#101'!$B$1:$L$44</definedName>
    <definedName name="_xlnm.Print_Area" localSheetId="94">'#103'!$B$1:$L$42</definedName>
    <definedName name="_xlnm.Print_Area" localSheetId="95">'#104'!$B$1:$L$51</definedName>
    <definedName name="_xlnm.Print_Area" localSheetId="96">'#105'!$B$1:$L$46</definedName>
    <definedName name="_xlnm.Print_Area" localSheetId="97">'#106'!$B$1:$L$50</definedName>
    <definedName name="_xlnm.Print_Area" localSheetId="98">'#107'!$B$1:$L$43</definedName>
    <definedName name="_xlnm.Print_Area" localSheetId="99">'#108'!$B$1:$L$44</definedName>
    <definedName name="_xlnm.Print_Area" localSheetId="100">'#109'!$B$9:$L$51</definedName>
    <definedName name="_xlnm.Print_Area" localSheetId="101">'#110'!$B$1:$L$46</definedName>
    <definedName name="_xlnm.Print_Area" localSheetId="102">'#111'!$B$1:$L$42</definedName>
    <definedName name="_xlnm.Print_Area" localSheetId="103">'#112'!$B$1:$L$42</definedName>
    <definedName name="_xlnm.Print_Area" localSheetId="104">'#113'!$B$1:$L$42</definedName>
    <definedName name="_xlnm.Print_Area" localSheetId="105">'#114'!$B$1:$L$42</definedName>
    <definedName name="_xlnm.Print_Area" localSheetId="106">'#115'!$B$1:$L$42</definedName>
    <definedName name="_xlnm.Print_Area" localSheetId="107">'#116'!$B$1:$L$40</definedName>
    <definedName name="_xlnm.Print_Area" localSheetId="108">'#117'!$B$1:$L$40</definedName>
    <definedName name="_xlnm.Print_Area" localSheetId="12">'#12'!$B$1:$L$44</definedName>
    <definedName name="_xlnm.Print_Area" localSheetId="109">'#120'!$B$1:$L$44</definedName>
    <definedName name="_xlnm.Print_Area" localSheetId="110">'#121'!$B$1:$L$47</definedName>
    <definedName name="_xlnm.Print_Area" localSheetId="111">'#122'!$B$1:$L$44</definedName>
    <definedName name="_xlnm.Print_Area" localSheetId="112">'#123'!$B$1:$L$45</definedName>
    <definedName name="_xlnm.Print_Area" localSheetId="113">'#124'!$B$1:$L$46</definedName>
    <definedName name="_xlnm.Print_Area" localSheetId="114">'#125'!$B$1:$L$43</definedName>
    <definedName name="_xlnm.Print_Area" localSheetId="115">'#126'!$B$1:$L$51</definedName>
    <definedName name="_xlnm.Print_Area" localSheetId="116">'#127'!$B$1:$L$41</definedName>
    <definedName name="_xlnm.Print_Area" localSheetId="117">'#128'!$B$1:$L$43</definedName>
    <definedName name="_xlnm.Print_Area" localSheetId="118">'#129'!$B$1:$L$46</definedName>
    <definedName name="_xlnm.Print_Area" localSheetId="13">'#13'!$B$1:$L$49</definedName>
    <definedName name="_xlnm.Print_Area" localSheetId="14">'#13 (2)'!$B$1:$L$49</definedName>
    <definedName name="_xlnm.Print_Area" localSheetId="119">'#130'!$B$1:$L$44</definedName>
    <definedName name="_xlnm.Print_Area" localSheetId="120">'#131'!$B$1:$L$51</definedName>
    <definedName name="_xlnm.Print_Area" localSheetId="121">'#132'!$B$1:$L$47</definedName>
    <definedName name="_xlnm.Print_Area" localSheetId="122">'#133'!$B$1:$L$51</definedName>
    <definedName name="_xlnm.Print_Area" localSheetId="123">'#134'!$B$1:$L$51</definedName>
    <definedName name="_xlnm.Print_Area" localSheetId="124">'#135'!$B$1:$L$46</definedName>
    <definedName name="_xlnm.Print_Area" localSheetId="125">'#137'!$B$1:$L$44</definedName>
    <definedName name="_xlnm.Print_Area" localSheetId="126">'#140'!$B$1:$L$48</definedName>
    <definedName name="_xlnm.Print_Area" localSheetId="127">'#142'!$B$1:$L$42</definedName>
    <definedName name="_xlnm.Print_Area" localSheetId="128">'#143'!$B$1:$L$47</definedName>
    <definedName name="_xlnm.Print_Area" localSheetId="129">'#144'!$B$1:$L$48</definedName>
    <definedName name="_xlnm.Print_Area" localSheetId="130">'#145'!$B$1:$L$46</definedName>
    <definedName name="_xlnm.Print_Area" localSheetId="131">'#146'!$B$1:$L$42</definedName>
    <definedName name="_xlnm.Print_Area" localSheetId="132">'#147'!$B$1:$L$42</definedName>
    <definedName name="_xlnm.Print_Area" localSheetId="133">'#148'!$B$1:$L$41</definedName>
    <definedName name="_xlnm.Print_Area" localSheetId="15">'#15'!$B$1:$L$41</definedName>
    <definedName name="_xlnm.Print_Area" localSheetId="134">'#150'!$B$1:$L$41</definedName>
    <definedName name="_xlnm.Print_Area" localSheetId="135">'#151'!$B$1:$L$42</definedName>
    <definedName name="_xlnm.Print_Area" localSheetId="136">'#152'!$B$1:$L$42</definedName>
    <definedName name="_xlnm.Print_Area" localSheetId="137">'#153'!$B$1:$L$48</definedName>
    <definedName name="_xlnm.Print_Area" localSheetId="138">'#154'!$B$1:$L$41</definedName>
    <definedName name="_xlnm.Print_Area" localSheetId="139">'#155'!$B$1:$L$44</definedName>
    <definedName name="_xlnm.Print_Area" localSheetId="140">'#156'!$B$1:$L$48</definedName>
    <definedName name="_xlnm.Print_Area" localSheetId="141">'#157'!$B$1:$L$55</definedName>
    <definedName name="_xlnm.Print_Area" localSheetId="142">'#158'!$B$1:$L$39</definedName>
    <definedName name="_xlnm.Print_Area" localSheetId="143">'#159'!$B$1:$L$39</definedName>
    <definedName name="_xlnm.Print_Area" localSheetId="16">'#16'!$B$1:$L$42</definedName>
    <definedName name="_xlnm.Print_Area" localSheetId="144">'#160'!$B$1:$L$43</definedName>
    <definedName name="_xlnm.Print_Area" localSheetId="145">'#162'!$B$1:$L$42</definedName>
    <definedName name="_xlnm.Print_Area" localSheetId="146">'#163'!$B$1:$L$38</definedName>
    <definedName name="_xlnm.Print_Area" localSheetId="147">'#164'!$B$1:$L$42</definedName>
    <definedName name="_xlnm.Print_Area" localSheetId="148">'#165'!$B$1:$L$41</definedName>
    <definedName name="_xlnm.Print_Area" localSheetId="149">'#166'!$B$1:$L$41</definedName>
    <definedName name="_xlnm.Print_Area" localSheetId="150">'#166 (2)'!$B$1:$L$41</definedName>
    <definedName name="_xlnm.Print_Area" localSheetId="151">'#167'!$B$1:$L$43</definedName>
    <definedName name="_xlnm.Print_Area" localSheetId="152">'#168'!$B$1:$L$44</definedName>
    <definedName name="_xlnm.Print_Area" localSheetId="153">'#169'!$B$1:$L$46</definedName>
    <definedName name="_xlnm.Print_Area" localSheetId="17">'#17'!$B$1:$L$45</definedName>
    <definedName name="_xlnm.Print_Area" localSheetId="154">'#170'!$B$1:$L$44</definedName>
    <definedName name="_xlnm.Print_Area" localSheetId="155">'#171'!$B$1:$L$42</definedName>
    <definedName name="_xlnm.Print_Area" localSheetId="156">'#172'!$B$1:$L$39</definedName>
    <definedName name="_xlnm.Print_Area" localSheetId="157">'#173'!$B$1:$L$48</definedName>
    <definedName name="_xlnm.Print_Area" localSheetId="158">'#173 (2)'!$B$1:$L$52</definedName>
    <definedName name="_xlnm.Print_Area" localSheetId="159">'#174'!$B$1:$L$52</definedName>
    <definedName name="_xlnm.Print_Area" localSheetId="160">'#175'!$B$1:$L$42</definedName>
    <definedName name="_xlnm.Print_Area" localSheetId="161">'#176'!$B$1:$L$44</definedName>
    <definedName name="_xlnm.Print_Area" localSheetId="162">'#178'!$B$1:$L$41</definedName>
    <definedName name="_xlnm.Print_Area" localSheetId="163">'#179'!$B$1:$L$42</definedName>
    <definedName name="_xlnm.Print_Area" localSheetId="18">'#18'!$B$1:$L$48</definedName>
    <definedName name="_xlnm.Print_Area" localSheetId="164">'#181'!$B$1:$L$39</definedName>
    <definedName name="_xlnm.Print_Area" localSheetId="165">'#182'!$B$1:$L$42</definedName>
    <definedName name="_xlnm.Print_Area" localSheetId="166">'#185'!$B$1:$L$43</definedName>
    <definedName name="_xlnm.Print_Area" localSheetId="167">'#186'!$B$1:$L$41</definedName>
    <definedName name="_xlnm.Print_Area" localSheetId="168">'#187'!$B$1:$L$44</definedName>
    <definedName name="_xlnm.Print_Area" localSheetId="169">'#188'!$B$1:$L$43</definedName>
    <definedName name="_xlnm.Print_Area" localSheetId="170">'#189'!$B$1:$L$42</definedName>
    <definedName name="_xlnm.Print_Area" localSheetId="19">'#19'!$B$1:$L$43</definedName>
    <definedName name="_xlnm.Print_Area" localSheetId="171">'#190'!$B$1:$L$41</definedName>
    <definedName name="_xlnm.Print_Area" localSheetId="172">'#191'!$B$1:$L$42</definedName>
    <definedName name="_xlnm.Print_Area" localSheetId="173">'#193'!$B$1:$L$44</definedName>
    <definedName name="_xlnm.Print_Area" localSheetId="174">'#194'!$B$1:$L$40</definedName>
    <definedName name="_xlnm.Print_Area" localSheetId="175">'#195'!$B$1:$L$43</definedName>
    <definedName name="_xlnm.Print_Area" localSheetId="176">'#196'!$B$1:$L$43</definedName>
    <definedName name="_xlnm.Print_Area" localSheetId="177">'#197'!$B$1:$L$49</definedName>
    <definedName name="_xlnm.Print_Area" localSheetId="178">'#198'!$B$1:$L$41</definedName>
    <definedName name="_xlnm.Print_Area" localSheetId="179">'#199'!$B$1:$L$38</definedName>
    <definedName name="_xlnm.Print_Area" localSheetId="20">'#20'!$B$1:$L$40</definedName>
    <definedName name="_xlnm.Print_Area" localSheetId="180">'#200'!$B$1:$L$41</definedName>
    <definedName name="_xlnm.Print_Area" localSheetId="181">'#201'!$B$1:$L$42</definedName>
    <definedName name="_xlnm.Print_Area" localSheetId="182">'#202'!$B$1:$L$42</definedName>
    <definedName name="_xlnm.Print_Area" localSheetId="183">'#203'!$B$1:$L$42</definedName>
    <definedName name="_xlnm.Print_Area" localSheetId="184">'#204'!$B$1:$L$42</definedName>
    <definedName name="_xlnm.Print_Area" localSheetId="185">'#205'!$B$1:$L$41</definedName>
    <definedName name="_xlnm.Print_Area" localSheetId="186">'#207'!$B$1:$L$43</definedName>
    <definedName name="_xlnm.Print_Area" localSheetId="187">'#208'!$B$1:$L$43</definedName>
    <definedName name="_xlnm.Print_Area" localSheetId="21">'#21'!$B$1:$L$40</definedName>
    <definedName name="_xlnm.Print_Area" localSheetId="188">'#210'!$B$1:$L$40</definedName>
    <definedName name="_xlnm.Print_Area" localSheetId="189">'#211'!$B$1:$L$46</definedName>
    <definedName name="_xlnm.Print_Area" localSheetId="190">'#212'!$B$1:$L$42</definedName>
    <definedName name="_xlnm.Print_Area" localSheetId="191">'#213'!$B$1:$L$49</definedName>
    <definedName name="_xlnm.Print_Area" localSheetId="192">'#213 (2)'!$B$1:$L$45</definedName>
    <definedName name="_xlnm.Print_Area" localSheetId="193">'#214'!$B$1:$L$42</definedName>
    <definedName name="_xlnm.Print_Area" localSheetId="194">'#215'!$B$1:$L$50</definedName>
    <definedName name="_xlnm.Print_Area" localSheetId="195">'#216'!$B$1:$L$42</definedName>
    <definedName name="_xlnm.Print_Area" localSheetId="196">'#217'!$B$1:$L$42</definedName>
    <definedName name="_xlnm.Print_Area" localSheetId="197">'#218'!$B$1:$L$44</definedName>
    <definedName name="_xlnm.Print_Area" localSheetId="198">'#219'!$B$1:$L$44</definedName>
    <definedName name="_xlnm.Print_Area" localSheetId="22">'#22'!$B$1:$L$44</definedName>
    <definedName name="_xlnm.Print_Area" localSheetId="199">'#221'!$B$1:$L$42</definedName>
    <definedName name="_xlnm.Print_Area" localSheetId="200">'#222'!$B$1:$L$42</definedName>
    <definedName name="_xlnm.Print_Area" localSheetId="201">'#223'!$B$1:$L$42</definedName>
    <definedName name="_xlnm.Print_Area" localSheetId="202">'#224'!$B$1:$L$42</definedName>
    <definedName name="_xlnm.Print_Area" localSheetId="203">'#225'!$B$1:$L$42</definedName>
    <definedName name="_xlnm.Print_Area" localSheetId="204">'#226'!$B$1:$L$42</definedName>
    <definedName name="_xlnm.Print_Area" localSheetId="205">'#227'!$B$1:$L$48</definedName>
    <definedName name="_xlnm.Print_Area" localSheetId="206">'#228'!$B$1:$L$42</definedName>
    <definedName name="_xlnm.Print_Area" localSheetId="207">'#229'!$B$1:$L$42</definedName>
    <definedName name="_xlnm.Print_Area" localSheetId="23">'#23'!$B$1:$L$48</definedName>
    <definedName name="_xlnm.Print_Area" localSheetId="208">'#230'!$B$1:$L$46</definedName>
    <definedName name="_xlnm.Print_Area" localSheetId="209">'#231'!$B$1:$L$47</definedName>
    <definedName name="_xlnm.Print_Area" localSheetId="210">'#232'!$B$1:$L$48</definedName>
    <definedName name="_xlnm.Print_Area" localSheetId="211">'#233'!$B$1:$L$49</definedName>
    <definedName name="_xlnm.Print_Area" localSheetId="212">'#234'!$B$1:$L$42</definedName>
    <definedName name="_xlnm.Print_Area" localSheetId="213">'#235'!$B$1:$L$44</definedName>
    <definedName name="_xlnm.Print_Area" localSheetId="214">'#236'!$B$1:$L$45</definedName>
    <definedName name="_xlnm.Print_Area" localSheetId="215">'#237'!$B$1:$L$48</definedName>
    <definedName name="_xlnm.Print_Area" localSheetId="216">'#238'!$B$1:$L$49</definedName>
    <definedName name="_xlnm.Print_Area" localSheetId="217">'#239'!$B$1:$L$45</definedName>
    <definedName name="_xlnm.Print_Area" localSheetId="24">'#24'!$B$1:$L$46</definedName>
    <definedName name="_xlnm.Print_Area" localSheetId="218">'#240'!$B$1:$L$50</definedName>
    <definedName name="_xlnm.Print_Area" localSheetId="219">'#241'!$B$1:$L$42</definedName>
    <definedName name="_xlnm.Print_Area" localSheetId="220">'#242'!$B$1:$L$47</definedName>
    <definedName name="_xlnm.Print_Area" localSheetId="221">'#243'!$B$1:$L$45</definedName>
    <definedName name="_xlnm.Print_Area" localSheetId="222">'#244'!$B$1:$L$50</definedName>
    <definedName name="_xlnm.Print_Area" localSheetId="223">'#244 (2)'!$B$1:$L$50</definedName>
    <definedName name="_xlnm.Print_Area" localSheetId="224">'#245'!$B$1:$L$46</definedName>
    <definedName name="_xlnm.Print_Area" localSheetId="225">'#246'!$B$1:$L$42</definedName>
    <definedName name="_xlnm.Print_Area" localSheetId="226">'#247'!$B$1:$L$45</definedName>
    <definedName name="_xlnm.Print_Area" localSheetId="227">'#248'!$B$1:$L$44</definedName>
    <definedName name="_xlnm.Print_Area" localSheetId="228">'#249'!$B$1:$L$44</definedName>
    <definedName name="_xlnm.Print_Area" localSheetId="25">'#25'!$B$1:$L$41</definedName>
    <definedName name="_xlnm.Print_Area" localSheetId="229">'#250'!$B$1:$L$43</definedName>
    <definedName name="_xlnm.Print_Area" localSheetId="230">'#251'!$B$1:$L$42</definedName>
    <definedName name="_xlnm.Print_Area" localSheetId="231">'#252'!$B$1:$L$43</definedName>
    <definedName name="_xlnm.Print_Area" localSheetId="232">'#253'!$B$1:$L$41</definedName>
    <definedName name="_xlnm.Print_Area" localSheetId="233">'#254'!$B$1:$L$41</definedName>
    <definedName name="_xlnm.Print_Area" localSheetId="234">'#255'!$B$1:$L$41</definedName>
    <definedName name="_xlnm.Print_Area" localSheetId="235">'#255 (2)'!$B$1:$L$41</definedName>
    <definedName name="_xlnm.Print_Area" localSheetId="236">'#261'!$B$1:$L$51</definedName>
    <definedName name="_xlnm.Print_Area" localSheetId="238">'#261 (2)'!$B$1:$L$58</definedName>
    <definedName name="_xlnm.Print_Area" localSheetId="239">'#261 (3)'!$B$1:$L$53</definedName>
    <definedName name="_xlnm.Print_Area" localSheetId="237">'#261 (4)'!$B$1:$L$49</definedName>
    <definedName name="_xlnm.Print_Area" localSheetId="26">'#27'!$B$1:$L$43</definedName>
    <definedName name="_xlnm.Print_Area" localSheetId="27">'#28'!$B$1:$L$43</definedName>
    <definedName name="_xlnm.Print_Area" localSheetId="28">'#29'!$B$1:$L$43</definedName>
    <definedName name="_xlnm.Print_Area" localSheetId="241">'#30'!$B$1:$L$42</definedName>
    <definedName name="_xlnm.Print_Area" localSheetId="29">'#31'!$B$1:$L$51</definedName>
    <definedName name="_xlnm.Print_Area" localSheetId="30">'#32'!$B$1:$L$45</definedName>
    <definedName name="_xlnm.Print_Area" localSheetId="31">'#33'!$B$1:$L$52</definedName>
    <definedName name="_xlnm.Print_Area" localSheetId="32">'#34'!$B$1:$L$41</definedName>
    <definedName name="_xlnm.Print_Area" localSheetId="33">'#36'!$B$1:$L$48</definedName>
    <definedName name="_xlnm.Print_Area" localSheetId="34">'#37'!$B$1:$L$45</definedName>
    <definedName name="_xlnm.Print_Area" localSheetId="35">'#38'!$B$1:$L$45</definedName>
    <definedName name="_xlnm.Print_Area" localSheetId="36">'#39'!$B$1:$L$43</definedName>
    <definedName name="_xlnm.Print_Area" localSheetId="37">'#40'!$B$1:$L$45</definedName>
    <definedName name="_xlnm.Print_Area" localSheetId="38">'#41'!$B$1:$L$49</definedName>
    <definedName name="_xlnm.Print_Area" localSheetId="39">'#42'!$B$1:$L$56</definedName>
    <definedName name="_xlnm.Print_Area" localSheetId="40">'#43'!$B$1:$L$56</definedName>
    <definedName name="_xlnm.Print_Area" localSheetId="41">'#44'!$B$1:$L$38</definedName>
    <definedName name="_xlnm.Print_Area" localSheetId="42">'#46'!$B$1:$L$51</definedName>
    <definedName name="_xlnm.Print_Area" localSheetId="43">'#47'!$B$1:$L$48</definedName>
    <definedName name="_xlnm.Print_Area" localSheetId="44">'#48'!$B$1:$L$44</definedName>
    <definedName name="_xlnm.Print_Area" localSheetId="45">'#49'!$B$1:$L$45</definedName>
    <definedName name="_xlnm.Print_Area" localSheetId="46">'#50'!$B$1:$L$52</definedName>
    <definedName name="_xlnm.Print_Area" localSheetId="47">'#51'!$B$1:$L$44</definedName>
    <definedName name="_xlnm.Print_Area" localSheetId="48">'#52'!$B$1:$L$42</definedName>
    <definedName name="_xlnm.Print_Area" localSheetId="49">'#54'!$B$1:$L$41</definedName>
    <definedName name="_xlnm.Print_Area" localSheetId="50">'#55'!$B$1:$L$41</definedName>
    <definedName name="_xlnm.Print_Area" localSheetId="51">'#56'!$B$1:$L$50</definedName>
    <definedName name="_xlnm.Print_Area" localSheetId="52">'#57'!$B$1:$L$43</definedName>
    <definedName name="_xlnm.Print_Area" localSheetId="53">'#58'!$B$1:$L$47</definedName>
    <definedName name="_xlnm.Print_Area" localSheetId="54">'#59'!$B$1:$L$40</definedName>
    <definedName name="_xlnm.Print_Area" localSheetId="55">'#60'!$B$1:$L$43</definedName>
    <definedName name="_xlnm.Print_Area" localSheetId="56">'#61'!$B$1:$L$38</definedName>
    <definedName name="_xlnm.Print_Area" localSheetId="57">'#62'!$B$1:$L$45</definedName>
    <definedName name="_xlnm.Print_Area" localSheetId="58">'#63'!$B$1:$L$58</definedName>
    <definedName name="_xlnm.Print_Area" localSheetId="59">'#64'!$B$1:$L$53</definedName>
    <definedName name="_xlnm.Print_Area" localSheetId="60">'#65'!$B$1:$L$48</definedName>
    <definedName name="_xlnm.Print_Area" localSheetId="61">'#67'!$B$1:$L$44</definedName>
    <definedName name="_xlnm.Print_Area" localSheetId="62">'#68'!$B$1:$L$45</definedName>
    <definedName name="_xlnm.Print_Area" localSheetId="63">'#69'!$B$1:$L$57</definedName>
    <definedName name="_xlnm.Print_Area" localSheetId="64">'#70'!$B$1:$L$43</definedName>
    <definedName name="_xlnm.Print_Area" localSheetId="65">'#71'!$B$1:$L$43</definedName>
    <definedName name="_xlnm.Print_Area" localSheetId="66">'#73'!$B$1:$L$42</definedName>
    <definedName name="_xlnm.Print_Area" localSheetId="67">'#74'!$B$1:$L$51</definedName>
    <definedName name="_xlnm.Print_Area" localSheetId="68">'#75'!$B$1:$L$43</definedName>
    <definedName name="_xlnm.Print_Area" localSheetId="69">'#76'!$B$1:$L$51</definedName>
    <definedName name="_xlnm.Print_Area" localSheetId="70">'#77'!$B$1:$L$42</definedName>
    <definedName name="_xlnm.Print_Area" localSheetId="71">'#78'!$B$1:$L$45</definedName>
    <definedName name="_xlnm.Print_Area" localSheetId="72">'#78 (2)'!$B$1:$L$45</definedName>
    <definedName name="_xlnm.Print_Area" localSheetId="73">'#79'!$B$1:$L$47</definedName>
    <definedName name="_xlnm.Print_Area" localSheetId="74">'#80'!$B$1:$L$54</definedName>
    <definedName name="_xlnm.Print_Area" localSheetId="75">'#81'!$B$1:$L$45</definedName>
    <definedName name="_xlnm.Print_Area" localSheetId="76">'#84'!$B$1:$L$51</definedName>
    <definedName name="_xlnm.Print_Area" localSheetId="77">'#85'!$B$1:$L$42</definedName>
    <definedName name="_xlnm.Print_Area" localSheetId="78">'#86'!$B$1:$L$42</definedName>
    <definedName name="_xlnm.Print_Area" localSheetId="79">'#87'!$B$1:$L$42</definedName>
    <definedName name="_xlnm.Print_Area" localSheetId="80">'#88'!$B$1:$L$50</definedName>
    <definedName name="_xlnm.Print_Area" localSheetId="81">'#89'!$B$1:$L$47</definedName>
    <definedName name="_xlnm.Print_Area" localSheetId="82">'#89 (2)'!$B$1:$L$47</definedName>
    <definedName name="_xlnm.Print_Area" localSheetId="83">'#90'!$B$1:$L$51</definedName>
    <definedName name="_xlnm.Print_Area" localSheetId="84">'#91'!$B$1:$L$48</definedName>
    <definedName name="_xlnm.Print_Area" localSheetId="85">'#92'!$B$1:$L$45</definedName>
    <definedName name="_xlnm.Print_Area" localSheetId="86">'#93'!$B$1:$L$44</definedName>
    <definedName name="_xlnm.Print_Area" localSheetId="87">'#94'!$B$1:$L$40</definedName>
    <definedName name="_xlnm.Print_Area" localSheetId="88">'#95'!$B$1:$L$40</definedName>
    <definedName name="_xlnm.Print_Area" localSheetId="89">'#96'!$B$1:$L$42</definedName>
    <definedName name="_xlnm.Print_Area" localSheetId="90">'#97'!$B$1:$L$42</definedName>
    <definedName name="_xlnm.Print_Area" localSheetId="91">'#99'!$B$1:$L$41</definedName>
    <definedName name="_xlnm.Print_Area" localSheetId="243">'City Energy'!$B$1:$L$46</definedName>
    <definedName name="_xlnm.Print_Area" localSheetId="1">'Delivery Location'!$A$3:$P$89</definedName>
    <definedName name="_xlnm.Print_Area" localSheetId="0">'Sales Master'!$B$2:$J$505</definedName>
    <definedName name="_xlnm.Print_Area" localSheetId="240">SAMPLE!$B$1:$L$44</definedName>
    <definedName name="_xlnm.Print_Area" localSheetId="242">sEFONG!$B$5:$L$47</definedName>
    <definedName name="_xlnm.Print_Titles" localSheetId="0">'Sales Master'!$2:$2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41" i="219" l="1"/>
  <c r="H41" i="219"/>
  <c r="D41" i="219"/>
  <c r="I40" i="219"/>
  <c r="H40" i="219"/>
  <c r="D40" i="219"/>
  <c r="I39" i="219"/>
  <c r="H39" i="219"/>
  <c r="D39" i="219"/>
  <c r="K29" i="52"/>
  <c r="L29" i="52" s="1"/>
  <c r="I29" i="52"/>
  <c r="H29" i="52"/>
  <c r="K22" i="52"/>
  <c r="L22" i="52" s="1"/>
  <c r="I22" i="52"/>
  <c r="H22" i="52"/>
  <c r="K21" i="52"/>
  <c r="L21" i="52" s="1"/>
  <c r="I21" i="52"/>
  <c r="H21" i="52"/>
  <c r="K23" i="52"/>
  <c r="L23" i="52" s="1"/>
  <c r="I23" i="52"/>
  <c r="H23" i="52"/>
  <c r="K19" i="52"/>
  <c r="L19" i="52" s="1"/>
  <c r="I19" i="52"/>
  <c r="H19" i="52"/>
  <c r="K28" i="52"/>
  <c r="L28" i="52" s="1"/>
  <c r="I28" i="52"/>
  <c r="H28" i="52"/>
  <c r="K20" i="52"/>
  <c r="L20" i="52" s="1"/>
  <c r="I20" i="52"/>
  <c r="H20" i="52"/>
  <c r="K26" i="52"/>
  <c r="L26" i="52" s="1"/>
  <c r="I26" i="52"/>
  <c r="H26" i="52"/>
  <c r="K24" i="52"/>
  <c r="L24" i="52" s="1"/>
  <c r="I24" i="52"/>
  <c r="H24" i="52"/>
  <c r="D29" i="52"/>
  <c r="D22" i="52"/>
  <c r="D21" i="52"/>
  <c r="D23" i="52"/>
  <c r="D19" i="52"/>
  <c r="D28" i="52"/>
  <c r="D20" i="52"/>
  <c r="D26" i="52"/>
  <c r="D24" i="52"/>
  <c r="K41" i="652" l="1"/>
  <c r="M38" i="652"/>
  <c r="K18" i="652"/>
  <c r="L18" i="652" s="1"/>
  <c r="I18" i="652"/>
  <c r="H18" i="652"/>
  <c r="D18" i="652"/>
  <c r="F11" i="652"/>
  <c r="K20" i="643"/>
  <c r="L20" i="643" s="1"/>
  <c r="I20" i="643"/>
  <c r="H20" i="643"/>
  <c r="D20" i="643"/>
  <c r="K23" i="401"/>
  <c r="L23" i="401" s="1"/>
  <c r="I23" i="401"/>
  <c r="H23" i="401"/>
  <c r="K22" i="401"/>
  <c r="L22" i="401" s="1"/>
  <c r="I22" i="401"/>
  <c r="H22" i="401"/>
  <c r="D23" i="401"/>
  <c r="D22" i="401"/>
  <c r="C33" i="342"/>
  <c r="D33" i="342" s="1"/>
  <c r="C25" i="342"/>
  <c r="D25" i="342" s="1"/>
  <c r="C23" i="342"/>
  <c r="D23" i="342" s="1"/>
  <c r="C28" i="342"/>
  <c r="D28" i="342" s="1"/>
  <c r="C27" i="342"/>
  <c r="D27" i="342" s="1"/>
  <c r="C19" i="342"/>
  <c r="D19" i="342" s="1"/>
  <c r="C32" i="342"/>
  <c r="D32" i="342" s="1"/>
  <c r="C22" i="342"/>
  <c r="D22" i="342" s="1"/>
  <c r="C29" i="342"/>
  <c r="D29" i="342" s="1"/>
  <c r="C31" i="342"/>
  <c r="D31" i="342" s="1"/>
  <c r="C30" i="342"/>
  <c r="D30" i="342" s="1"/>
  <c r="C20" i="342"/>
  <c r="D20" i="342" s="1"/>
  <c r="K34" i="94"/>
  <c r="L34" i="94" s="1"/>
  <c r="I34" i="94"/>
  <c r="H34" i="94"/>
  <c r="K26" i="94"/>
  <c r="L26" i="94" s="1"/>
  <c r="I26" i="94"/>
  <c r="H26" i="94"/>
  <c r="K19" i="94"/>
  <c r="L19" i="94" s="1"/>
  <c r="I19" i="94"/>
  <c r="H19" i="94"/>
  <c r="K32" i="94"/>
  <c r="L32" i="94" s="1"/>
  <c r="I32" i="94"/>
  <c r="H32" i="94"/>
  <c r="K33" i="94"/>
  <c r="L33" i="94" s="1"/>
  <c r="I33" i="94"/>
  <c r="H33" i="94"/>
  <c r="K28" i="94"/>
  <c r="L28" i="94" s="1"/>
  <c r="I28" i="94"/>
  <c r="H28" i="94"/>
  <c r="K30" i="94"/>
  <c r="L30" i="94" s="1"/>
  <c r="I30" i="94"/>
  <c r="H30" i="94"/>
  <c r="D34" i="94"/>
  <c r="D26" i="94"/>
  <c r="D19" i="94"/>
  <c r="D32" i="94"/>
  <c r="D33" i="94"/>
  <c r="D28" i="94"/>
  <c r="D30" i="94"/>
  <c r="K20" i="604"/>
  <c r="L20" i="604" s="1"/>
  <c r="I20" i="604"/>
  <c r="H20" i="604"/>
  <c r="D20" i="604"/>
  <c r="H224" i="7"/>
  <c r="L38" i="652" l="1"/>
  <c r="L40" i="652" s="1"/>
  <c r="H33" i="342"/>
  <c r="I33" i="342"/>
  <c r="K33" i="342"/>
  <c r="L33" i="342" s="1"/>
  <c r="H25" i="342"/>
  <c r="I25" i="342"/>
  <c r="K25" i="342"/>
  <c r="L25" i="342" s="1"/>
  <c r="I23" i="342"/>
  <c r="H23" i="342"/>
  <c r="K23" i="342"/>
  <c r="L23" i="342" s="1"/>
  <c r="I28" i="342"/>
  <c r="H28" i="342"/>
  <c r="K28" i="342"/>
  <c r="L28" i="342" s="1"/>
  <c r="H27" i="342"/>
  <c r="I27" i="342"/>
  <c r="K27" i="342"/>
  <c r="L27" i="342" s="1"/>
  <c r="K19" i="342"/>
  <c r="L19" i="342" s="1"/>
  <c r="H19" i="342"/>
  <c r="I19" i="342"/>
  <c r="I32" i="342"/>
  <c r="K32" i="342"/>
  <c r="L32" i="342" s="1"/>
  <c r="H32" i="342"/>
  <c r="I22" i="342"/>
  <c r="H22" i="342"/>
  <c r="K22" i="342"/>
  <c r="L22" i="342" s="1"/>
  <c r="K29" i="342"/>
  <c r="L29" i="342" s="1"/>
  <c r="I29" i="342"/>
  <c r="H29" i="342"/>
  <c r="H31" i="342"/>
  <c r="I31" i="342"/>
  <c r="K31" i="342"/>
  <c r="L31" i="342" s="1"/>
  <c r="H30" i="342"/>
  <c r="K30" i="342"/>
  <c r="L30" i="342" s="1"/>
  <c r="I30" i="342"/>
  <c r="H20" i="342"/>
  <c r="I20" i="342"/>
  <c r="K20" i="342"/>
  <c r="L20" i="342" s="1"/>
  <c r="K19" i="452"/>
  <c r="I19" i="452"/>
  <c r="H19" i="452"/>
  <c r="D19" i="452"/>
  <c r="K25" i="432"/>
  <c r="I25" i="432"/>
  <c r="H25" i="432"/>
  <c r="K24" i="432"/>
  <c r="I24" i="432"/>
  <c r="H24" i="432"/>
  <c r="K26" i="432"/>
  <c r="L26" i="432" s="1"/>
  <c r="I26" i="432"/>
  <c r="H26" i="432"/>
  <c r="D25" i="432"/>
  <c r="D24" i="432"/>
  <c r="D26" i="432"/>
  <c r="C26" i="189"/>
  <c r="D26" i="189" s="1"/>
  <c r="Q43" i="651"/>
  <c r="K39" i="651"/>
  <c r="C18" i="651"/>
  <c r="F11" i="651"/>
  <c r="I42" i="72"/>
  <c r="H42" i="72"/>
  <c r="D42" i="72"/>
  <c r="I41" i="72"/>
  <c r="H41" i="72"/>
  <c r="D41" i="72"/>
  <c r="I40" i="72"/>
  <c r="H40" i="72"/>
  <c r="D40" i="72"/>
  <c r="I39" i="72"/>
  <c r="H39" i="72"/>
  <c r="D39" i="72"/>
  <c r="I38" i="72"/>
  <c r="H38" i="72"/>
  <c r="D38" i="72"/>
  <c r="I41" i="380"/>
  <c r="H41" i="380"/>
  <c r="D41" i="380"/>
  <c r="I40" i="380"/>
  <c r="H40" i="380"/>
  <c r="D40" i="380"/>
  <c r="I33" i="330"/>
  <c r="H33" i="330"/>
  <c r="D33" i="330"/>
  <c r="I40" i="330"/>
  <c r="H40" i="330"/>
  <c r="D40" i="330"/>
  <c r="I39" i="330"/>
  <c r="H39" i="330"/>
  <c r="D39" i="330"/>
  <c r="I38" i="330"/>
  <c r="H38" i="330"/>
  <c r="D38" i="330"/>
  <c r="I37" i="330"/>
  <c r="H37" i="330"/>
  <c r="D37" i="330"/>
  <c r="I36" i="330"/>
  <c r="H36" i="330"/>
  <c r="D36" i="330"/>
  <c r="I35" i="330"/>
  <c r="H35" i="330"/>
  <c r="D35" i="330"/>
  <c r="I34" i="330"/>
  <c r="H34" i="330"/>
  <c r="D34" i="330"/>
  <c r="I37" i="96"/>
  <c r="H37" i="96"/>
  <c r="D37" i="96"/>
  <c r="I36" i="96"/>
  <c r="H36" i="96"/>
  <c r="D36" i="96"/>
  <c r="I34" i="96"/>
  <c r="H34" i="96"/>
  <c r="D34" i="96"/>
  <c r="I29" i="102"/>
  <c r="H29" i="102"/>
  <c r="D29" i="102"/>
  <c r="I28" i="102"/>
  <c r="H28" i="102"/>
  <c r="D28" i="102"/>
  <c r="I26" i="108"/>
  <c r="H26" i="108"/>
  <c r="D26" i="108"/>
  <c r="K20" i="90"/>
  <c r="I20" i="90"/>
  <c r="H20" i="90"/>
  <c r="D20" i="90"/>
  <c r="I32" i="136"/>
  <c r="H32" i="136"/>
  <c r="D32" i="136"/>
  <c r="L41" i="652" l="1"/>
  <c r="L42" i="652" s="1"/>
  <c r="L19" i="452"/>
  <c r="L24" i="432"/>
  <c r="L25" i="432"/>
  <c r="I26" i="189"/>
  <c r="K26" i="189"/>
  <c r="L26" i="189" s="1"/>
  <c r="H26" i="189"/>
  <c r="H18" i="651"/>
  <c r="I18" i="651"/>
  <c r="K18" i="651"/>
  <c r="D18" i="651"/>
  <c r="L20" i="90"/>
  <c r="L18" i="651" l="1"/>
  <c r="L36" i="651" s="1"/>
  <c r="L38" i="651" s="1"/>
  <c r="L39" i="651" s="1"/>
  <c r="L40" i="651" s="1"/>
  <c r="K32" i="650"/>
  <c r="C18" i="650"/>
  <c r="H18" i="650" s="1"/>
  <c r="F11" i="650"/>
  <c r="K32" i="649"/>
  <c r="C18" i="649"/>
  <c r="H18" i="649" s="1"/>
  <c r="F11" i="649"/>
  <c r="K36" i="648"/>
  <c r="C18" i="648"/>
  <c r="H18" i="648" s="1"/>
  <c r="O15" i="648"/>
  <c r="F11" i="648"/>
  <c r="K23" i="77"/>
  <c r="L23" i="77" s="1"/>
  <c r="I23" i="77"/>
  <c r="H23" i="77"/>
  <c r="D23" i="77"/>
  <c r="C31" i="339"/>
  <c r="D31" i="339" s="1"/>
  <c r="C23" i="339"/>
  <c r="I23" i="339" s="1"/>
  <c r="C27" i="339"/>
  <c r="D27" i="339" s="1"/>
  <c r="C26" i="339"/>
  <c r="D26" i="339" s="1"/>
  <c r="C28" i="339"/>
  <c r="H28" i="339" s="1"/>
  <c r="C22" i="339"/>
  <c r="D22" i="339" s="1"/>
  <c r="C19" i="339"/>
  <c r="K19" i="339" s="1"/>
  <c r="L19" i="339" s="1"/>
  <c r="C25" i="339"/>
  <c r="C20" i="339"/>
  <c r="C29" i="339"/>
  <c r="C30" i="339"/>
  <c r="C24" i="339"/>
  <c r="C21" i="339"/>
  <c r="C18" i="339"/>
  <c r="I18" i="650" l="1"/>
  <c r="K18" i="650"/>
  <c r="D18" i="650"/>
  <c r="I18" i="649"/>
  <c r="K18" i="649"/>
  <c r="D18" i="649"/>
  <c r="K18" i="648"/>
  <c r="L18" i="648" s="1"/>
  <c r="I18" i="648"/>
  <c r="D18" i="648"/>
  <c r="I31" i="339"/>
  <c r="K31" i="339"/>
  <c r="L31" i="339" s="1"/>
  <c r="H31" i="339"/>
  <c r="D23" i="339"/>
  <c r="H23" i="339"/>
  <c r="K23" i="339"/>
  <c r="L23" i="339" s="1"/>
  <c r="H27" i="339"/>
  <c r="K27" i="339"/>
  <c r="L27" i="339" s="1"/>
  <c r="I27" i="339"/>
  <c r="I26" i="339"/>
  <c r="H26" i="339"/>
  <c r="K26" i="339"/>
  <c r="L26" i="339" s="1"/>
  <c r="I28" i="339"/>
  <c r="K28" i="339"/>
  <c r="L28" i="339" s="1"/>
  <c r="D28" i="339"/>
  <c r="H22" i="339"/>
  <c r="H19" i="339"/>
  <c r="I19" i="339"/>
  <c r="D19" i="339"/>
  <c r="I22" i="339"/>
  <c r="K22" i="339"/>
  <c r="L22" i="339" s="1"/>
  <c r="L18" i="650" l="1"/>
  <c r="L29" i="650" s="1"/>
  <c r="L18" i="649"/>
  <c r="L33" i="648"/>
  <c r="L34" i="648" s="1"/>
  <c r="L35" i="648" s="1"/>
  <c r="L30" i="650" l="1"/>
  <c r="L31" i="650" s="1"/>
  <c r="L29" i="649"/>
  <c r="N33" i="648"/>
  <c r="L36" i="648"/>
  <c r="L37" i="648" s="1"/>
  <c r="L32" i="650" l="1"/>
  <c r="L33" i="650" s="1"/>
  <c r="L30" i="649"/>
  <c r="L31" i="649" s="1"/>
  <c r="C35" i="647"/>
  <c r="D35" i="647" s="1"/>
  <c r="C34" i="647"/>
  <c r="D34" i="647" s="1"/>
  <c r="C33" i="647"/>
  <c r="D33" i="647" s="1"/>
  <c r="C32" i="647"/>
  <c r="D32" i="647" s="1"/>
  <c r="C31" i="647"/>
  <c r="D31" i="647" s="1"/>
  <c r="C30" i="647"/>
  <c r="I30" i="647" s="1"/>
  <c r="C29" i="647"/>
  <c r="D29" i="647" s="1"/>
  <c r="C28" i="647"/>
  <c r="D28" i="647" s="1"/>
  <c r="C27" i="647"/>
  <c r="D27" i="647" s="1"/>
  <c r="C26" i="647"/>
  <c r="D26" i="647" s="1"/>
  <c r="C25" i="647"/>
  <c r="D25" i="647" s="1"/>
  <c r="C24" i="647"/>
  <c r="D24" i="647" s="1"/>
  <c r="C23" i="647"/>
  <c r="D23" i="647" s="1"/>
  <c r="K43" i="647"/>
  <c r="C22" i="647"/>
  <c r="I22" i="647" s="1"/>
  <c r="C21" i="647"/>
  <c r="D21" i="647" s="1"/>
  <c r="C20" i="647"/>
  <c r="D20" i="647" s="1"/>
  <c r="C19" i="647"/>
  <c r="K19" i="647" s="1"/>
  <c r="L19" i="647" s="1"/>
  <c r="C18" i="647"/>
  <c r="I18" i="647" s="1"/>
  <c r="F11" i="647"/>
  <c r="I29" i="608"/>
  <c r="H29" i="608"/>
  <c r="D29" i="608"/>
  <c r="K30" i="42"/>
  <c r="L30" i="42" s="1"/>
  <c r="I30" i="42"/>
  <c r="H30" i="42"/>
  <c r="K22" i="42"/>
  <c r="L22" i="42" s="1"/>
  <c r="I22" i="42"/>
  <c r="H22" i="42"/>
  <c r="K28" i="42"/>
  <c r="L28" i="42" s="1"/>
  <c r="I28" i="42"/>
  <c r="H28" i="42"/>
  <c r="K29" i="42"/>
  <c r="L29" i="42" s="1"/>
  <c r="I29" i="42"/>
  <c r="H29" i="42"/>
  <c r="K27" i="42"/>
  <c r="L27" i="42" s="1"/>
  <c r="I27" i="42"/>
  <c r="H27" i="42"/>
  <c r="K26" i="42"/>
  <c r="L26" i="42" s="1"/>
  <c r="I26" i="42"/>
  <c r="H26" i="42"/>
  <c r="K25" i="42"/>
  <c r="L25" i="42" s="1"/>
  <c r="I25" i="42"/>
  <c r="H25" i="42"/>
  <c r="K24" i="42"/>
  <c r="L24" i="42" s="1"/>
  <c r="I24" i="42"/>
  <c r="H24" i="42"/>
  <c r="K23" i="42"/>
  <c r="L23" i="42" s="1"/>
  <c r="I23" i="42"/>
  <c r="H23" i="42"/>
  <c r="K21" i="42"/>
  <c r="L21" i="42" s="1"/>
  <c r="I21" i="42"/>
  <c r="H21" i="42"/>
  <c r="K20" i="42"/>
  <c r="L20" i="42" s="1"/>
  <c r="I20" i="42"/>
  <c r="H20" i="42"/>
  <c r="D30" i="42"/>
  <c r="D22" i="42"/>
  <c r="D28" i="42"/>
  <c r="D29" i="42"/>
  <c r="D27" i="42"/>
  <c r="D26" i="42"/>
  <c r="D25" i="42"/>
  <c r="D24" i="42"/>
  <c r="D23" i="42"/>
  <c r="D21" i="42"/>
  <c r="D20" i="42"/>
  <c r="K24" i="608"/>
  <c r="I24" i="608"/>
  <c r="H24" i="608"/>
  <c r="K21" i="608"/>
  <c r="I21" i="608"/>
  <c r="H21" i="608"/>
  <c r="K22" i="608"/>
  <c r="L22" i="608" s="1"/>
  <c r="I22" i="608"/>
  <c r="H22" i="608"/>
  <c r="K23" i="608"/>
  <c r="L23" i="608" s="1"/>
  <c r="I23" i="608"/>
  <c r="H23" i="608"/>
  <c r="K20" i="608"/>
  <c r="L20" i="608" s="1"/>
  <c r="I20" i="608"/>
  <c r="H20" i="608"/>
  <c r="K19" i="608"/>
  <c r="I19" i="608"/>
  <c r="H19" i="608"/>
  <c r="D24" i="608"/>
  <c r="D21" i="608"/>
  <c r="D22" i="608"/>
  <c r="D23" i="608"/>
  <c r="D20" i="608"/>
  <c r="D19" i="608"/>
  <c r="L32" i="649" l="1"/>
  <c r="L33" i="649" s="1"/>
  <c r="I33" i="647"/>
  <c r="K30" i="647"/>
  <c r="L30" i="647" s="1"/>
  <c r="H28" i="647"/>
  <c r="I25" i="647"/>
  <c r="H23" i="647"/>
  <c r="K25" i="647"/>
  <c r="L25" i="647" s="1"/>
  <c r="I28" i="647"/>
  <c r="H31" i="647"/>
  <c r="K33" i="647"/>
  <c r="L33" i="647" s="1"/>
  <c r="D30" i="647"/>
  <c r="I23" i="647"/>
  <c r="H26" i="647"/>
  <c r="K28" i="647"/>
  <c r="L28" i="647" s="1"/>
  <c r="I31" i="647"/>
  <c r="H34" i="647"/>
  <c r="K23" i="647"/>
  <c r="L23" i="647" s="1"/>
  <c r="I26" i="647"/>
  <c r="H29" i="647"/>
  <c r="K31" i="647"/>
  <c r="L31" i="647" s="1"/>
  <c r="I34" i="647"/>
  <c r="H24" i="647"/>
  <c r="K26" i="647"/>
  <c r="L26" i="647" s="1"/>
  <c r="I29" i="647"/>
  <c r="H32" i="647"/>
  <c r="K34" i="647"/>
  <c r="L34" i="647" s="1"/>
  <c r="I24" i="647"/>
  <c r="H27" i="647"/>
  <c r="K29" i="647"/>
  <c r="L29" i="647" s="1"/>
  <c r="I32" i="647"/>
  <c r="H35" i="647"/>
  <c r="K24" i="647"/>
  <c r="L24" i="647" s="1"/>
  <c r="I27" i="647"/>
  <c r="H30" i="647"/>
  <c r="K32" i="647"/>
  <c r="L32" i="647" s="1"/>
  <c r="I35" i="647"/>
  <c r="H25" i="647"/>
  <c r="K27" i="647"/>
  <c r="L27" i="647" s="1"/>
  <c r="H33" i="647"/>
  <c r="K35" i="647"/>
  <c r="L35" i="647" s="1"/>
  <c r="K18" i="647"/>
  <c r="L18" i="647" s="1"/>
  <c r="H20" i="647"/>
  <c r="K21" i="647"/>
  <c r="L21" i="647" s="1"/>
  <c r="D19" i="647"/>
  <c r="I20" i="647"/>
  <c r="H19" i="647"/>
  <c r="K20" i="647"/>
  <c r="L20" i="647" s="1"/>
  <c r="D18" i="647"/>
  <c r="I19" i="647"/>
  <c r="D22" i="647"/>
  <c r="H22" i="647"/>
  <c r="H21" i="647"/>
  <c r="K22" i="647"/>
  <c r="L22" i="647" s="1"/>
  <c r="I21" i="647"/>
  <c r="H18" i="647"/>
  <c r="L21" i="608"/>
  <c r="L19" i="608"/>
  <c r="L24" i="608"/>
  <c r="L40" i="647" l="1"/>
  <c r="L41" i="647" s="1"/>
  <c r="L42" i="647" s="1"/>
  <c r="L43" i="647" l="1"/>
  <c r="L44" i="647" s="1"/>
  <c r="C32" i="621" l="1"/>
  <c r="D32" i="621" s="1"/>
  <c r="C18" i="413"/>
  <c r="C22" i="278"/>
  <c r="C21" i="278"/>
  <c r="C20" i="278"/>
  <c r="C19" i="278"/>
  <c r="C18" i="278"/>
  <c r="I43" i="52"/>
  <c r="H43" i="52"/>
  <c r="D43" i="52"/>
  <c r="I42" i="52"/>
  <c r="H42" i="52"/>
  <c r="D42" i="52"/>
  <c r="I41" i="52"/>
  <c r="H41" i="52"/>
  <c r="D41" i="52"/>
  <c r="D40" i="52"/>
  <c r="D39" i="52"/>
  <c r="I40" i="52"/>
  <c r="H40" i="52"/>
  <c r="I39" i="52"/>
  <c r="H39" i="52"/>
  <c r="I38" i="52"/>
  <c r="H38" i="52"/>
  <c r="D38" i="52"/>
  <c r="I35" i="52"/>
  <c r="H35" i="52"/>
  <c r="I34" i="52"/>
  <c r="H34" i="52"/>
  <c r="D35" i="52"/>
  <c r="D34" i="52"/>
  <c r="I33" i="52"/>
  <c r="H33" i="52"/>
  <c r="D33" i="52"/>
  <c r="I31" i="270"/>
  <c r="H31" i="270"/>
  <c r="D31" i="270"/>
  <c r="H271" i="7"/>
  <c r="DA271" i="7" s="1"/>
  <c r="I30" i="49"/>
  <c r="H30" i="49"/>
  <c r="D30" i="49"/>
  <c r="C28" i="486"/>
  <c r="D28" i="486" s="1"/>
  <c r="C22" i="486"/>
  <c r="D22" i="486" s="1"/>
  <c r="C29" i="486"/>
  <c r="D29" i="486" s="1"/>
  <c r="C19" i="434"/>
  <c r="C18" i="434"/>
  <c r="H32" i="621" l="1"/>
  <c r="I32" i="621"/>
  <c r="K32" i="621"/>
  <c r="H28" i="486"/>
  <c r="K28" i="486"/>
  <c r="L28" i="486" s="1"/>
  <c r="I28" i="486"/>
  <c r="H22" i="486"/>
  <c r="I22" i="486"/>
  <c r="K22" i="486"/>
  <c r="L22" i="486" s="1"/>
  <c r="H29" i="486"/>
  <c r="I29" i="486"/>
  <c r="K29" i="486"/>
  <c r="L29" i="486" s="1"/>
  <c r="D19" i="434"/>
  <c r="I19" i="434"/>
  <c r="H19" i="434"/>
  <c r="K19" i="434"/>
  <c r="L19" i="434" s="1"/>
  <c r="L32" i="621" l="1"/>
  <c r="K40" i="646"/>
  <c r="M37" i="646"/>
  <c r="K20" i="646"/>
  <c r="L20" i="646" s="1"/>
  <c r="I20" i="646"/>
  <c r="H20" i="646"/>
  <c r="D20" i="646"/>
  <c r="K21" i="646"/>
  <c r="L21" i="646" s="1"/>
  <c r="I21" i="646"/>
  <c r="H21" i="646"/>
  <c r="D21" i="646"/>
  <c r="K19" i="646"/>
  <c r="L19" i="646" s="1"/>
  <c r="I19" i="646"/>
  <c r="H19" i="646"/>
  <c r="D19" i="646"/>
  <c r="K18" i="646"/>
  <c r="L18" i="646" s="1"/>
  <c r="I18" i="646"/>
  <c r="H18" i="646"/>
  <c r="D18" i="646"/>
  <c r="F11" i="646"/>
  <c r="K40" i="644"/>
  <c r="L40" i="644" s="1"/>
  <c r="I40" i="644"/>
  <c r="H40" i="644"/>
  <c r="K39" i="644"/>
  <c r="L39" i="644" s="1"/>
  <c r="I39" i="644"/>
  <c r="H39" i="644"/>
  <c r="K38" i="644"/>
  <c r="L38" i="644" s="1"/>
  <c r="I38" i="644"/>
  <c r="H38" i="644"/>
  <c r="K37" i="644"/>
  <c r="L37" i="644" s="1"/>
  <c r="I37" i="644"/>
  <c r="H37" i="644"/>
  <c r="K36" i="644"/>
  <c r="L36" i="644" s="1"/>
  <c r="I36" i="644"/>
  <c r="H36" i="644"/>
  <c r="K35" i="644"/>
  <c r="L35" i="644" s="1"/>
  <c r="I35" i="644"/>
  <c r="H35" i="644"/>
  <c r="K34" i="644"/>
  <c r="L34" i="644" s="1"/>
  <c r="I34" i="644"/>
  <c r="H34" i="644"/>
  <c r="K33" i="644"/>
  <c r="L33" i="644" s="1"/>
  <c r="I33" i="644"/>
  <c r="H33" i="644"/>
  <c r="K32" i="644"/>
  <c r="L32" i="644" s="1"/>
  <c r="I32" i="644"/>
  <c r="H32" i="644"/>
  <c r="K31" i="644"/>
  <c r="L31" i="644" s="1"/>
  <c r="I31" i="644"/>
  <c r="H31" i="644"/>
  <c r="K30" i="644"/>
  <c r="L30" i="644" s="1"/>
  <c r="I30" i="644"/>
  <c r="H30" i="644"/>
  <c r="K29" i="644"/>
  <c r="L29" i="644" s="1"/>
  <c r="I29" i="644"/>
  <c r="H29" i="644"/>
  <c r="K28" i="644"/>
  <c r="L28" i="644" s="1"/>
  <c r="I28" i="644"/>
  <c r="H28" i="644"/>
  <c r="K27" i="644"/>
  <c r="L27" i="644" s="1"/>
  <c r="I27" i="644"/>
  <c r="H27" i="644"/>
  <c r="K26" i="644"/>
  <c r="L26" i="644" s="1"/>
  <c r="I26" i="644"/>
  <c r="H26" i="644"/>
  <c r="K25" i="644"/>
  <c r="L25" i="644" s="1"/>
  <c r="I25" i="644"/>
  <c r="H25" i="644"/>
  <c r="K24" i="644"/>
  <c r="L24" i="644" s="1"/>
  <c r="I24" i="644"/>
  <c r="H24" i="644"/>
  <c r="K23" i="644"/>
  <c r="L23" i="644" s="1"/>
  <c r="I23" i="644"/>
  <c r="H23" i="644"/>
  <c r="K22" i="644"/>
  <c r="L22" i="644" s="1"/>
  <c r="I22" i="644"/>
  <c r="H22" i="644"/>
  <c r="K21" i="644"/>
  <c r="L21" i="644" s="1"/>
  <c r="I21" i="644"/>
  <c r="H21" i="644"/>
  <c r="K20" i="644"/>
  <c r="L20" i="644" s="1"/>
  <c r="I20" i="644"/>
  <c r="H20" i="644"/>
  <c r="D40" i="644"/>
  <c r="D39" i="644"/>
  <c r="D38" i="644"/>
  <c r="D37" i="644"/>
  <c r="D36" i="644"/>
  <c r="D35" i="644"/>
  <c r="D34" i="644"/>
  <c r="D33" i="644"/>
  <c r="D32" i="644"/>
  <c r="D31" i="644"/>
  <c r="D30" i="644"/>
  <c r="D29" i="644"/>
  <c r="D28" i="644"/>
  <c r="D27" i="644"/>
  <c r="D26" i="644"/>
  <c r="D25" i="644"/>
  <c r="D24" i="644"/>
  <c r="D23" i="644"/>
  <c r="D22" i="644"/>
  <c r="D21" i="644"/>
  <c r="D20" i="644"/>
  <c r="K22" i="645"/>
  <c r="L22" i="645" s="1"/>
  <c r="I22" i="645"/>
  <c r="H22" i="645"/>
  <c r="K21" i="645"/>
  <c r="L21" i="645" s="1"/>
  <c r="I21" i="645"/>
  <c r="H21" i="645"/>
  <c r="K20" i="645"/>
  <c r="L20" i="645" s="1"/>
  <c r="I20" i="645"/>
  <c r="H20" i="645"/>
  <c r="D22" i="645"/>
  <c r="D21" i="645"/>
  <c r="D20" i="645"/>
  <c r="K44" i="645"/>
  <c r="M41" i="645"/>
  <c r="K19" i="645"/>
  <c r="L19" i="645" s="1"/>
  <c r="I19" i="645"/>
  <c r="H19" i="645"/>
  <c r="D19" i="645"/>
  <c r="K18" i="645"/>
  <c r="L18" i="645" s="1"/>
  <c r="I18" i="645"/>
  <c r="H18" i="645"/>
  <c r="D18" i="645"/>
  <c r="F11" i="645"/>
  <c r="K49" i="644"/>
  <c r="M46" i="644"/>
  <c r="K19" i="644"/>
  <c r="L19" i="644" s="1"/>
  <c r="I19" i="644"/>
  <c r="H19" i="644"/>
  <c r="D19" i="644"/>
  <c r="K18" i="644"/>
  <c r="L18" i="644" s="1"/>
  <c r="I18" i="644"/>
  <c r="H18" i="644"/>
  <c r="D18" i="644"/>
  <c r="F11" i="644"/>
  <c r="K42" i="643"/>
  <c r="M39" i="643"/>
  <c r="K19" i="643"/>
  <c r="L19" i="643" s="1"/>
  <c r="I19" i="643"/>
  <c r="H19" i="643"/>
  <c r="D19" i="643"/>
  <c r="K18" i="643"/>
  <c r="L18" i="643" s="1"/>
  <c r="I18" i="643"/>
  <c r="H18" i="643"/>
  <c r="D18" i="643"/>
  <c r="F11" i="643"/>
  <c r="K27" i="550"/>
  <c r="L27" i="550" s="1"/>
  <c r="I27" i="550"/>
  <c r="H27" i="550"/>
  <c r="K22" i="550"/>
  <c r="L22" i="550" s="1"/>
  <c r="I22" i="550"/>
  <c r="H22" i="550"/>
  <c r="K19" i="550"/>
  <c r="L19" i="550" s="1"/>
  <c r="I19" i="550"/>
  <c r="H19" i="550"/>
  <c r="K20" i="550"/>
  <c r="L20" i="550" s="1"/>
  <c r="I20" i="550"/>
  <c r="H20" i="550"/>
  <c r="K21" i="550"/>
  <c r="L21" i="550" s="1"/>
  <c r="I21" i="550"/>
  <c r="H21" i="550"/>
  <c r="K25" i="550"/>
  <c r="L25" i="550" s="1"/>
  <c r="I25" i="550"/>
  <c r="H25" i="550"/>
  <c r="K24" i="550"/>
  <c r="L24" i="550" s="1"/>
  <c r="I24" i="550"/>
  <c r="H24" i="550"/>
  <c r="D27" i="550"/>
  <c r="D22" i="550"/>
  <c r="D19" i="550"/>
  <c r="D20" i="550"/>
  <c r="D21" i="550"/>
  <c r="D25" i="550"/>
  <c r="D24" i="550"/>
  <c r="K34" i="72"/>
  <c r="L34" i="72" s="1"/>
  <c r="I34" i="72"/>
  <c r="H34" i="72"/>
  <c r="K33" i="72"/>
  <c r="L33" i="72" s="1"/>
  <c r="I33" i="72"/>
  <c r="H33" i="72"/>
  <c r="K32" i="72"/>
  <c r="L32" i="72" s="1"/>
  <c r="I32" i="72"/>
  <c r="H32" i="72"/>
  <c r="K31" i="72"/>
  <c r="L31" i="72" s="1"/>
  <c r="I31" i="72"/>
  <c r="H31" i="72"/>
  <c r="K30" i="72"/>
  <c r="L30" i="72" s="1"/>
  <c r="I30" i="72"/>
  <c r="H30" i="72"/>
  <c r="D34" i="72"/>
  <c r="D33" i="72"/>
  <c r="D32" i="72"/>
  <c r="D31" i="72"/>
  <c r="D30" i="72"/>
  <c r="C19" i="249"/>
  <c r="D19" i="249" s="1"/>
  <c r="C21" i="249"/>
  <c r="D21" i="249" s="1"/>
  <c r="C20" i="249"/>
  <c r="D20" i="249" s="1"/>
  <c r="K30" i="387"/>
  <c r="L30" i="387" s="1"/>
  <c r="I30" i="387"/>
  <c r="H30" i="387"/>
  <c r="K34" i="387"/>
  <c r="L34" i="387" s="1"/>
  <c r="I34" i="387"/>
  <c r="H34" i="387"/>
  <c r="K19" i="387"/>
  <c r="L19" i="387" s="1"/>
  <c r="I19" i="387"/>
  <c r="H19" i="387"/>
  <c r="K24" i="387"/>
  <c r="L24" i="387" s="1"/>
  <c r="I24" i="387"/>
  <c r="H24" i="387"/>
  <c r="K20" i="387"/>
  <c r="L20" i="387" s="1"/>
  <c r="I20" i="387"/>
  <c r="H20" i="387"/>
  <c r="K21" i="387"/>
  <c r="L21" i="387" s="1"/>
  <c r="I21" i="387"/>
  <c r="H21" i="387"/>
  <c r="K27" i="387"/>
  <c r="L27" i="387" s="1"/>
  <c r="I27" i="387"/>
  <c r="H27" i="387"/>
  <c r="K35" i="387"/>
  <c r="L35" i="387" s="1"/>
  <c r="I35" i="387"/>
  <c r="H35" i="387"/>
  <c r="I31" i="387"/>
  <c r="H31" i="387"/>
  <c r="D30" i="387"/>
  <c r="D34" i="387"/>
  <c r="D19" i="387"/>
  <c r="D24" i="387"/>
  <c r="D20" i="387"/>
  <c r="D21" i="387"/>
  <c r="D27" i="387"/>
  <c r="D35" i="387"/>
  <c r="D31" i="387"/>
  <c r="K23" i="436"/>
  <c r="L23" i="436" s="1"/>
  <c r="I23" i="436"/>
  <c r="H23" i="436"/>
  <c r="K22" i="436"/>
  <c r="L22" i="436" s="1"/>
  <c r="I22" i="436"/>
  <c r="H22" i="436"/>
  <c r="K20" i="436"/>
  <c r="L20" i="436" s="1"/>
  <c r="I20" i="436"/>
  <c r="H20" i="436"/>
  <c r="K19" i="436"/>
  <c r="L19" i="436" s="1"/>
  <c r="I19" i="436"/>
  <c r="H19" i="436"/>
  <c r="K21" i="436"/>
  <c r="L21" i="436" s="1"/>
  <c r="I21" i="436"/>
  <c r="H21" i="436"/>
  <c r="D23" i="436"/>
  <c r="D22" i="436"/>
  <c r="D20" i="436"/>
  <c r="D19" i="436"/>
  <c r="D21" i="436"/>
  <c r="CS224" i="7"/>
  <c r="DA224" i="7"/>
  <c r="N26" i="219" s="1"/>
  <c r="C29" i="366"/>
  <c r="C30" i="618"/>
  <c r="D30" i="618" s="1"/>
  <c r="C31" i="618"/>
  <c r="D31" i="618" s="1"/>
  <c r="C21" i="618"/>
  <c r="D21" i="618" s="1"/>
  <c r="C28" i="618"/>
  <c r="D28" i="618" s="1"/>
  <c r="C19" i="236"/>
  <c r="C18" i="236"/>
  <c r="C19" i="416"/>
  <c r="C18" i="416"/>
  <c r="BB242" i="7"/>
  <c r="C21" i="573"/>
  <c r="C19" i="573"/>
  <c r="C20" i="573"/>
  <c r="C18" i="573"/>
  <c r="I30" i="270"/>
  <c r="H30" i="270"/>
  <c r="D30" i="270"/>
  <c r="K19" i="277"/>
  <c r="L19" i="277" s="1"/>
  <c r="I19" i="277"/>
  <c r="H19" i="277"/>
  <c r="D19" i="277"/>
  <c r="K20" i="285"/>
  <c r="L20" i="285" s="1"/>
  <c r="I20" i="285"/>
  <c r="H20" i="285"/>
  <c r="D20" i="285"/>
  <c r="K20" i="314"/>
  <c r="L20" i="314" s="1"/>
  <c r="I20" i="314"/>
  <c r="H20" i="314"/>
  <c r="D20" i="314"/>
  <c r="C20" i="625"/>
  <c r="K20" i="625" s="1"/>
  <c r="L20" i="625" s="1"/>
  <c r="C19" i="625"/>
  <c r="C18" i="625"/>
  <c r="DA191" i="7"/>
  <c r="CS191" i="7"/>
  <c r="BX191" i="7"/>
  <c r="I39" i="94"/>
  <c r="H39" i="94"/>
  <c r="D39" i="94"/>
  <c r="I30" i="44"/>
  <c r="H30" i="44"/>
  <c r="D30" i="44"/>
  <c r="D29" i="366" l="1"/>
  <c r="L37" i="646"/>
  <c r="N37" i="646" s="1"/>
  <c r="L41" i="645"/>
  <c r="L42" i="645" s="1"/>
  <c r="L43" i="645" s="1"/>
  <c r="L46" i="644"/>
  <c r="L39" i="643"/>
  <c r="H19" i="249"/>
  <c r="I19" i="249"/>
  <c r="K19" i="249"/>
  <c r="L19" i="249" s="1"/>
  <c r="H21" i="249"/>
  <c r="I21" i="249"/>
  <c r="K21" i="249"/>
  <c r="L21" i="249" s="1"/>
  <c r="K20" i="249"/>
  <c r="L20" i="249" s="1"/>
  <c r="H20" i="249"/>
  <c r="I20" i="249"/>
  <c r="H29" i="366"/>
  <c r="I29" i="366"/>
  <c r="K29" i="366"/>
  <c r="L29" i="366" s="1"/>
  <c r="I30" i="618"/>
  <c r="H30" i="618"/>
  <c r="K30" i="618"/>
  <c r="K31" i="618"/>
  <c r="I31" i="618"/>
  <c r="H31" i="618"/>
  <c r="H21" i="618"/>
  <c r="I21" i="618"/>
  <c r="K21" i="618"/>
  <c r="K28" i="618"/>
  <c r="L28" i="618" s="1"/>
  <c r="H28" i="618"/>
  <c r="I28" i="618"/>
  <c r="H20" i="625"/>
  <c r="I20" i="625"/>
  <c r="D20" i="625"/>
  <c r="K24" i="102"/>
  <c r="L24" i="102" s="1"/>
  <c r="I24" i="102"/>
  <c r="H24" i="102"/>
  <c r="D24" i="102"/>
  <c r="L38" i="646" l="1"/>
  <c r="L39" i="646" s="1"/>
  <c r="L40" i="646" s="1"/>
  <c r="L41" i="646" s="1"/>
  <c r="N41" i="645"/>
  <c r="L44" i="645"/>
  <c r="L45" i="645" s="1"/>
  <c r="L47" i="644"/>
  <c r="L48" i="644" s="1"/>
  <c r="N46" i="644"/>
  <c r="L40" i="643"/>
  <c r="L41" i="643" s="1"/>
  <c r="N39" i="643"/>
  <c r="L30" i="618"/>
  <c r="L31" i="618"/>
  <c r="L21" i="618"/>
  <c r="L49" i="644" l="1"/>
  <c r="L50" i="644" s="1"/>
  <c r="L42" i="643"/>
  <c r="L43" i="643" s="1"/>
  <c r="K20" i="287"/>
  <c r="L20" i="287" s="1"/>
  <c r="I20" i="287"/>
  <c r="H20" i="287"/>
  <c r="D20" i="287"/>
  <c r="K22" i="120"/>
  <c r="L22" i="120" s="1"/>
  <c r="I22" i="120"/>
  <c r="H22" i="120"/>
  <c r="D22" i="120"/>
  <c r="K23" i="215"/>
  <c r="L23" i="215" s="1"/>
  <c r="I23" i="215"/>
  <c r="H23" i="215"/>
  <c r="D23" i="215"/>
  <c r="K22" i="215"/>
  <c r="L22" i="215" s="1"/>
  <c r="I22" i="215"/>
  <c r="H22" i="215"/>
  <c r="D22" i="215"/>
  <c r="K21" i="215"/>
  <c r="L21" i="215" s="1"/>
  <c r="I21" i="215"/>
  <c r="H21" i="215"/>
  <c r="D21" i="215"/>
  <c r="D23" i="330"/>
  <c r="I35" i="96"/>
  <c r="H35" i="96"/>
  <c r="K28" i="96"/>
  <c r="L28" i="96" s="1"/>
  <c r="I28" i="96"/>
  <c r="H28" i="96"/>
  <c r="D28" i="96"/>
  <c r="K30" i="339"/>
  <c r="L30" i="339" s="1"/>
  <c r="I30" i="339"/>
  <c r="H30" i="339"/>
  <c r="D30" i="339"/>
  <c r="C26" i="342"/>
  <c r="C29" i="399"/>
  <c r="D29" i="399" s="1"/>
  <c r="C28" i="399"/>
  <c r="D28" i="399" s="1"/>
  <c r="C27" i="399"/>
  <c r="D27" i="399" s="1"/>
  <c r="C26" i="399"/>
  <c r="D26" i="399" s="1"/>
  <c r="C25" i="399"/>
  <c r="D25" i="399" s="1"/>
  <c r="C24" i="399"/>
  <c r="D24" i="399" s="1"/>
  <c r="C23" i="399"/>
  <c r="D23" i="399" s="1"/>
  <c r="C22" i="399"/>
  <c r="D22" i="399" s="1"/>
  <c r="C21" i="399"/>
  <c r="D21" i="399" s="1"/>
  <c r="C20" i="399"/>
  <c r="D20" i="399" s="1"/>
  <c r="C19" i="399"/>
  <c r="D19" i="399" s="1"/>
  <c r="C18" i="399"/>
  <c r="K18" i="399" s="1"/>
  <c r="L18" i="399" s="1"/>
  <c r="C27" i="366"/>
  <c r="C20" i="366"/>
  <c r="C31" i="366"/>
  <c r="C24" i="366"/>
  <c r="C21" i="366"/>
  <c r="I40" i="387"/>
  <c r="H40" i="387"/>
  <c r="D40" i="387"/>
  <c r="K21" i="293"/>
  <c r="I21" i="293"/>
  <c r="H21" i="293"/>
  <c r="D21" i="293"/>
  <c r="I23" i="116"/>
  <c r="H23" i="116"/>
  <c r="D23" i="116"/>
  <c r="I35" i="42"/>
  <c r="H35" i="42"/>
  <c r="D35" i="42"/>
  <c r="C20" i="642"/>
  <c r="I20" i="642" s="1"/>
  <c r="C19" i="642"/>
  <c r="K19" i="642" s="1"/>
  <c r="L19" i="642" s="1"/>
  <c r="K35" i="642"/>
  <c r="M32" i="642"/>
  <c r="C18" i="642"/>
  <c r="I18" i="642" s="1"/>
  <c r="F11" i="642"/>
  <c r="Q39" i="641"/>
  <c r="K37" i="641"/>
  <c r="M34" i="641"/>
  <c r="C24" i="641"/>
  <c r="K24" i="641" s="1"/>
  <c r="L24" i="641" s="1"/>
  <c r="C23" i="641"/>
  <c r="I23" i="641" s="1"/>
  <c r="C22" i="641"/>
  <c r="D22" i="641" s="1"/>
  <c r="C21" i="641"/>
  <c r="H21" i="641" s="1"/>
  <c r="C20" i="641"/>
  <c r="K20" i="641" s="1"/>
  <c r="L20" i="641" s="1"/>
  <c r="C19" i="641"/>
  <c r="I19" i="641" s="1"/>
  <c r="C18" i="641"/>
  <c r="D18" i="641" s="1"/>
  <c r="F11" i="641"/>
  <c r="I33" i="270"/>
  <c r="H33" i="270"/>
  <c r="D33" i="270"/>
  <c r="I32" i="270"/>
  <c r="H32" i="270"/>
  <c r="D32" i="270"/>
  <c r="D27" i="366" l="1"/>
  <c r="H20" i="366"/>
  <c r="K21" i="366"/>
  <c r="I24" i="366"/>
  <c r="I31" i="366"/>
  <c r="K29" i="399"/>
  <c r="L29" i="399" s="1"/>
  <c r="H29" i="399"/>
  <c r="I29" i="399"/>
  <c r="I28" i="399"/>
  <c r="K28" i="399"/>
  <c r="L28" i="399" s="1"/>
  <c r="H28" i="399"/>
  <c r="H27" i="399"/>
  <c r="K27" i="399"/>
  <c r="L27" i="399" s="1"/>
  <c r="I27" i="399"/>
  <c r="I26" i="399"/>
  <c r="K26" i="399"/>
  <c r="L26" i="399" s="1"/>
  <c r="H26" i="399"/>
  <c r="H25" i="399"/>
  <c r="I25" i="399"/>
  <c r="K25" i="399"/>
  <c r="L25" i="399" s="1"/>
  <c r="H24" i="399"/>
  <c r="K24" i="399"/>
  <c r="L24" i="399" s="1"/>
  <c r="I24" i="399"/>
  <c r="K23" i="399"/>
  <c r="L23" i="399" s="1"/>
  <c r="H23" i="399"/>
  <c r="I23" i="399"/>
  <c r="I22" i="399"/>
  <c r="H22" i="399"/>
  <c r="K22" i="399"/>
  <c r="L22" i="399" s="1"/>
  <c r="H21" i="399"/>
  <c r="K21" i="399"/>
  <c r="L21" i="399" s="1"/>
  <c r="I21" i="399"/>
  <c r="I20" i="399"/>
  <c r="K20" i="399"/>
  <c r="L20" i="399" s="1"/>
  <c r="H20" i="399"/>
  <c r="I19" i="399"/>
  <c r="K19" i="399"/>
  <c r="L19" i="399" s="1"/>
  <c r="H19" i="399"/>
  <c r="D18" i="399"/>
  <c r="H18" i="399"/>
  <c r="I18" i="399"/>
  <c r="K27" i="366"/>
  <c r="I27" i="366"/>
  <c r="H27" i="366"/>
  <c r="I20" i="366"/>
  <c r="K20" i="366"/>
  <c r="L20" i="366" s="1"/>
  <c r="D20" i="366"/>
  <c r="K31" i="366"/>
  <c r="D31" i="366"/>
  <c r="H31" i="366"/>
  <c r="D24" i="366"/>
  <c r="H24" i="366"/>
  <c r="K24" i="366"/>
  <c r="L24" i="366" s="1"/>
  <c r="D21" i="366"/>
  <c r="H21" i="366"/>
  <c r="I21" i="366"/>
  <c r="L21" i="293"/>
  <c r="K20" i="642"/>
  <c r="L20" i="642" s="1"/>
  <c r="D20" i="642"/>
  <c r="H20" i="642"/>
  <c r="D19" i="642"/>
  <c r="H19" i="642"/>
  <c r="I19" i="642"/>
  <c r="D18" i="642"/>
  <c r="K18" i="642"/>
  <c r="L18" i="642" s="1"/>
  <c r="H18" i="642"/>
  <c r="H24" i="641"/>
  <c r="D24" i="641"/>
  <c r="I21" i="641"/>
  <c r="K21" i="641"/>
  <c r="L21" i="641" s="1"/>
  <c r="H20" i="641"/>
  <c r="D20" i="641"/>
  <c r="H18" i="641"/>
  <c r="K19" i="641"/>
  <c r="L19" i="641" s="1"/>
  <c r="H22" i="641"/>
  <c r="K23" i="641"/>
  <c r="L23" i="641" s="1"/>
  <c r="I18" i="641"/>
  <c r="D21" i="641"/>
  <c r="I22" i="641"/>
  <c r="K18" i="641"/>
  <c r="L18" i="641" s="1"/>
  <c r="K22" i="641"/>
  <c r="L22" i="641" s="1"/>
  <c r="D19" i="641"/>
  <c r="I20" i="641"/>
  <c r="D23" i="641"/>
  <c r="I24" i="641"/>
  <c r="H19" i="641"/>
  <c r="H23" i="641"/>
  <c r="L31" i="366" l="1"/>
  <c r="L21" i="366"/>
  <c r="L27" i="366"/>
  <c r="L32" i="642"/>
  <c r="L34" i="642" s="1"/>
  <c r="L35" i="642" s="1"/>
  <c r="L36" i="642" s="1"/>
  <c r="L34" i="641"/>
  <c r="L35" i="641" l="1"/>
  <c r="L36" i="641" s="1"/>
  <c r="N34" i="641"/>
  <c r="L37" i="641" l="1"/>
  <c r="L38" i="641" s="1"/>
  <c r="C19" i="329" l="1"/>
  <c r="D19" i="329" s="1"/>
  <c r="C21" i="329"/>
  <c r="D21" i="329" s="1"/>
  <c r="C22" i="329"/>
  <c r="D22" i="329" s="1"/>
  <c r="I28" i="543"/>
  <c r="H28" i="543"/>
  <c r="D28" i="543"/>
  <c r="I26" i="67"/>
  <c r="H26" i="67"/>
  <c r="D26" i="67"/>
  <c r="I24" i="46"/>
  <c r="H24" i="46"/>
  <c r="D24" i="46"/>
  <c r="I31" i="75"/>
  <c r="H31" i="75"/>
  <c r="D31" i="75"/>
  <c r="I33" i="41"/>
  <c r="H33" i="41"/>
  <c r="D33" i="41"/>
  <c r="I28" i="400"/>
  <c r="H28" i="400"/>
  <c r="D28" i="400"/>
  <c r="I23" i="396"/>
  <c r="H23" i="396"/>
  <c r="D23" i="396"/>
  <c r="I27" i="391"/>
  <c r="H27" i="391"/>
  <c r="D27" i="391"/>
  <c r="I34" i="51"/>
  <c r="H34" i="51"/>
  <c r="D34" i="51"/>
  <c r="I26" i="36"/>
  <c r="H26" i="36"/>
  <c r="D26" i="36"/>
  <c r="I32" i="41"/>
  <c r="H32" i="41"/>
  <c r="D32" i="41"/>
  <c r="I27" i="76"/>
  <c r="H27" i="76"/>
  <c r="D27" i="76"/>
  <c r="I37" i="83"/>
  <c r="H37" i="83"/>
  <c r="D37" i="83"/>
  <c r="K21" i="583"/>
  <c r="L21" i="583" s="1"/>
  <c r="I21" i="583"/>
  <c r="H21" i="583"/>
  <c r="K22" i="583"/>
  <c r="L22" i="583" s="1"/>
  <c r="I22" i="583"/>
  <c r="H22" i="583"/>
  <c r="K23" i="583"/>
  <c r="L23" i="583" s="1"/>
  <c r="I23" i="583"/>
  <c r="H23" i="583"/>
  <c r="D21" i="583"/>
  <c r="D22" i="583"/>
  <c r="D23" i="583"/>
  <c r="K21" i="117"/>
  <c r="L21" i="117" s="1"/>
  <c r="I21" i="117"/>
  <c r="H21" i="117"/>
  <c r="K20" i="117"/>
  <c r="L20" i="117" s="1"/>
  <c r="I20" i="117"/>
  <c r="H20" i="117"/>
  <c r="K19" i="117"/>
  <c r="L19" i="117" s="1"/>
  <c r="I19" i="117"/>
  <c r="H19" i="117"/>
  <c r="D21" i="117"/>
  <c r="D20" i="117"/>
  <c r="D19" i="117"/>
  <c r="C21" i="617"/>
  <c r="D21" i="617" s="1"/>
  <c r="C19" i="640"/>
  <c r="D19" i="640" s="1"/>
  <c r="K32" i="640"/>
  <c r="C18" i="640"/>
  <c r="F11" i="640"/>
  <c r="C18" i="232"/>
  <c r="I19" i="329" l="1"/>
  <c r="I22" i="329"/>
  <c r="K22" i="329"/>
  <c r="L22" i="329" s="1"/>
  <c r="H19" i="329"/>
  <c r="H21" i="329"/>
  <c r="K19" i="329"/>
  <c r="L19" i="329" s="1"/>
  <c r="I21" i="329"/>
  <c r="K21" i="329"/>
  <c r="L21" i="329" s="1"/>
  <c r="H22" i="329"/>
  <c r="H21" i="617"/>
  <c r="I21" i="617"/>
  <c r="K21" i="617"/>
  <c r="H19" i="640"/>
  <c r="I19" i="640"/>
  <c r="K19" i="640"/>
  <c r="D18" i="640"/>
  <c r="H18" i="640"/>
  <c r="I18" i="640"/>
  <c r="K18" i="640"/>
  <c r="L21" i="617" l="1"/>
  <c r="L19" i="640"/>
  <c r="L18" i="640"/>
  <c r="L29" i="640" l="1"/>
  <c r="L30" i="640" l="1"/>
  <c r="L31" i="640" s="1"/>
  <c r="L32" i="640" s="1"/>
  <c r="L33" i="640" s="1"/>
  <c r="K20" i="50" l="1"/>
  <c r="L20" i="50" s="1"/>
  <c r="I20" i="50"/>
  <c r="H20" i="50"/>
  <c r="D20" i="50"/>
  <c r="K19" i="78"/>
  <c r="I19" i="78"/>
  <c r="H19" i="78"/>
  <c r="D19" i="78"/>
  <c r="K20" i="291"/>
  <c r="L20" i="291" s="1"/>
  <c r="I20" i="291"/>
  <c r="H20" i="291"/>
  <c r="D20" i="291"/>
  <c r="K19" i="291"/>
  <c r="L19" i="291" s="1"/>
  <c r="I19" i="291"/>
  <c r="H19" i="291"/>
  <c r="D19" i="291"/>
  <c r="K21" i="594"/>
  <c r="L21" i="594" s="1"/>
  <c r="I21" i="594"/>
  <c r="H21" i="594"/>
  <c r="D21" i="594"/>
  <c r="K20" i="573"/>
  <c r="L20" i="573" s="1"/>
  <c r="I20" i="573"/>
  <c r="H20" i="573"/>
  <c r="D20" i="573"/>
  <c r="K19" i="573"/>
  <c r="L19" i="573" s="1"/>
  <c r="I19" i="573"/>
  <c r="H19" i="573"/>
  <c r="D19" i="573"/>
  <c r="C30" i="621"/>
  <c r="D30" i="621" s="1"/>
  <c r="C29" i="621"/>
  <c r="D29" i="621" s="1"/>
  <c r="C31" i="621"/>
  <c r="D31" i="621" s="1"/>
  <c r="C28" i="621"/>
  <c r="D28" i="621" s="1"/>
  <c r="C25" i="621"/>
  <c r="D25" i="621" s="1"/>
  <c r="C22" i="621"/>
  <c r="D22" i="621" s="1"/>
  <c r="C23" i="621"/>
  <c r="D23" i="621" s="1"/>
  <c r="C21" i="621"/>
  <c r="D21" i="621" s="1"/>
  <c r="C20" i="621"/>
  <c r="D20" i="621" s="1"/>
  <c r="C24" i="621"/>
  <c r="D24" i="621" s="1"/>
  <c r="C19" i="621"/>
  <c r="D19" i="621" s="1"/>
  <c r="I26" i="342"/>
  <c r="C24" i="342"/>
  <c r="C21" i="342"/>
  <c r="C18" i="342"/>
  <c r="K27" i="52"/>
  <c r="L27" i="52" s="1"/>
  <c r="I27" i="52"/>
  <c r="H27" i="52"/>
  <c r="K25" i="52"/>
  <c r="L25" i="52" s="1"/>
  <c r="I25" i="52"/>
  <c r="H25" i="52"/>
  <c r="D27" i="52"/>
  <c r="D25" i="52"/>
  <c r="K20" i="636"/>
  <c r="L20" i="636" s="1"/>
  <c r="I20" i="636"/>
  <c r="H20" i="636"/>
  <c r="D20" i="636"/>
  <c r="L19" i="78" l="1"/>
  <c r="H25" i="621"/>
  <c r="K29" i="621"/>
  <c r="I25" i="621"/>
  <c r="H31" i="621"/>
  <c r="K25" i="621"/>
  <c r="I31" i="621"/>
  <c r="K31" i="621"/>
  <c r="H30" i="621"/>
  <c r="K28" i="621"/>
  <c r="L28" i="621" s="1"/>
  <c r="I29" i="621"/>
  <c r="H22" i="621"/>
  <c r="I30" i="621"/>
  <c r="I22" i="621"/>
  <c r="H28" i="621"/>
  <c r="K30" i="621"/>
  <c r="L30" i="621" s="1"/>
  <c r="K22" i="621"/>
  <c r="L22" i="621" s="1"/>
  <c r="I28" i="621"/>
  <c r="H29" i="621"/>
  <c r="H23" i="621"/>
  <c r="K23" i="621"/>
  <c r="L23" i="621" s="1"/>
  <c r="I23" i="621"/>
  <c r="K21" i="621"/>
  <c r="H21" i="621"/>
  <c r="I21" i="621"/>
  <c r="H20" i="621"/>
  <c r="I20" i="621"/>
  <c r="K20" i="621"/>
  <c r="L20" i="621" s="1"/>
  <c r="H24" i="621"/>
  <c r="K24" i="621"/>
  <c r="I24" i="621"/>
  <c r="H19" i="621"/>
  <c r="K19" i="621"/>
  <c r="I19" i="621"/>
  <c r="K26" i="342"/>
  <c r="L26" i="342" s="1"/>
  <c r="D26" i="342"/>
  <c r="H26" i="342"/>
  <c r="L31" i="621" l="1"/>
  <c r="L25" i="621"/>
  <c r="L29" i="621"/>
  <c r="L21" i="621"/>
  <c r="L24" i="621"/>
  <c r="L19" i="621"/>
  <c r="K24" i="634" l="1"/>
  <c r="I24" i="634"/>
  <c r="H24" i="634"/>
  <c r="D24" i="634"/>
  <c r="K19" i="441" l="1"/>
  <c r="L19" i="441" s="1"/>
  <c r="I19" i="441"/>
  <c r="H19" i="441"/>
  <c r="K22" i="441"/>
  <c r="L22" i="441" s="1"/>
  <c r="I22" i="441"/>
  <c r="H22" i="441"/>
  <c r="K24" i="441"/>
  <c r="L24" i="441" s="1"/>
  <c r="I24" i="441"/>
  <c r="H24" i="441"/>
  <c r="K23" i="441"/>
  <c r="L23" i="441" s="1"/>
  <c r="I23" i="441"/>
  <c r="H23" i="441"/>
  <c r="D19" i="441"/>
  <c r="D22" i="441"/>
  <c r="D24" i="441"/>
  <c r="D23" i="441"/>
  <c r="K20" i="81"/>
  <c r="I20" i="81"/>
  <c r="H20" i="81"/>
  <c r="C30" i="556"/>
  <c r="I30" i="556" s="1"/>
  <c r="C22" i="556"/>
  <c r="H22" i="556" s="1"/>
  <c r="C23" i="556"/>
  <c r="D23" i="556" s="1"/>
  <c r="C29" i="556"/>
  <c r="K29" i="556" s="1"/>
  <c r="L29" i="556" s="1"/>
  <c r="C24" i="556"/>
  <c r="D24" i="556" s="1"/>
  <c r="C21" i="556"/>
  <c r="C31" i="556"/>
  <c r="I31" i="556" s="1"/>
  <c r="C20" i="556"/>
  <c r="K20" i="556" s="1"/>
  <c r="L20" i="556" s="1"/>
  <c r="C19" i="556"/>
  <c r="C26" i="556"/>
  <c r="C27" i="556"/>
  <c r="C25" i="556"/>
  <c r="I25" i="556" s="1"/>
  <c r="K26" i="537"/>
  <c r="I26" i="537"/>
  <c r="H26" i="537"/>
  <c r="K22" i="537"/>
  <c r="I22" i="537"/>
  <c r="H22" i="537"/>
  <c r="K25" i="537"/>
  <c r="L25" i="537" s="1"/>
  <c r="I25" i="537"/>
  <c r="H25" i="537"/>
  <c r="D26" i="537"/>
  <c r="D22" i="537"/>
  <c r="D25" i="537"/>
  <c r="C19" i="603"/>
  <c r="D19" i="603" s="1"/>
  <c r="C22" i="603"/>
  <c r="D22" i="603" s="1"/>
  <c r="K29" i="72"/>
  <c r="L29" i="72" s="1"/>
  <c r="I29" i="72"/>
  <c r="H29" i="72"/>
  <c r="K28" i="72"/>
  <c r="L28" i="72" s="1"/>
  <c r="I28" i="72"/>
  <c r="H28" i="72"/>
  <c r="K27" i="72"/>
  <c r="L27" i="72" s="1"/>
  <c r="I27" i="72"/>
  <c r="H27" i="72"/>
  <c r="D29" i="72"/>
  <c r="D28" i="72"/>
  <c r="D27" i="72"/>
  <c r="K28" i="550"/>
  <c r="L28" i="550" s="1"/>
  <c r="I28" i="550"/>
  <c r="H28" i="550"/>
  <c r="K29" i="550"/>
  <c r="L29" i="550" s="1"/>
  <c r="I29" i="550"/>
  <c r="H29" i="550"/>
  <c r="K23" i="550"/>
  <c r="L23" i="550" s="1"/>
  <c r="I23" i="550"/>
  <c r="H23" i="550"/>
  <c r="D28" i="550"/>
  <c r="D29" i="550"/>
  <c r="D23" i="550"/>
  <c r="K22" i="594"/>
  <c r="L22" i="594" s="1"/>
  <c r="I22" i="594"/>
  <c r="H22" i="594"/>
  <c r="K20" i="594"/>
  <c r="L20" i="594" s="1"/>
  <c r="I20" i="594"/>
  <c r="H20" i="594"/>
  <c r="K19" i="594"/>
  <c r="L19" i="594" s="1"/>
  <c r="I19" i="594"/>
  <c r="H19" i="594"/>
  <c r="D22" i="594"/>
  <c r="D20" i="594"/>
  <c r="D19" i="594"/>
  <c r="K19" i="131"/>
  <c r="I19" i="131"/>
  <c r="H19" i="131"/>
  <c r="D19" i="131"/>
  <c r="C28" i="617"/>
  <c r="D28" i="617" s="1"/>
  <c r="C22" i="246"/>
  <c r="D22" i="246" s="1"/>
  <c r="C18" i="249"/>
  <c r="C30" i="585"/>
  <c r="D30" i="585" s="1"/>
  <c r="C24" i="585"/>
  <c r="D24" i="585" s="1"/>
  <c r="C23" i="585"/>
  <c r="D23" i="585" s="1"/>
  <c r="C21" i="585"/>
  <c r="D21" i="585" s="1"/>
  <c r="C26" i="585"/>
  <c r="D26" i="585" s="1"/>
  <c r="C22" i="585"/>
  <c r="D22" i="585" s="1"/>
  <c r="K27" i="94"/>
  <c r="L27" i="94" s="1"/>
  <c r="I27" i="94"/>
  <c r="H27" i="94"/>
  <c r="K31" i="94"/>
  <c r="L31" i="94" s="1"/>
  <c r="I31" i="94"/>
  <c r="H31" i="94"/>
  <c r="K24" i="94"/>
  <c r="L24" i="94" s="1"/>
  <c r="I24" i="94"/>
  <c r="H24" i="94"/>
  <c r="K21" i="94"/>
  <c r="L21" i="94" s="1"/>
  <c r="I21" i="94"/>
  <c r="H21" i="94"/>
  <c r="K35" i="94"/>
  <c r="L35" i="94" s="1"/>
  <c r="I35" i="94"/>
  <c r="H35" i="94"/>
  <c r="K22" i="94"/>
  <c r="L22" i="94" s="1"/>
  <c r="I22" i="94"/>
  <c r="H22" i="94"/>
  <c r="K23" i="94"/>
  <c r="L23" i="94" s="1"/>
  <c r="I23" i="94"/>
  <c r="H23" i="94"/>
  <c r="K20" i="94"/>
  <c r="L20" i="94" s="1"/>
  <c r="I20" i="94"/>
  <c r="H20" i="94"/>
  <c r="K29" i="94"/>
  <c r="L29" i="94" s="1"/>
  <c r="I29" i="94"/>
  <c r="H29" i="94"/>
  <c r="K25" i="94"/>
  <c r="L25" i="94" s="1"/>
  <c r="I25" i="94"/>
  <c r="H25" i="94"/>
  <c r="D27" i="94"/>
  <c r="D31" i="94"/>
  <c r="D24" i="94"/>
  <c r="D21" i="94"/>
  <c r="D35" i="94"/>
  <c r="D22" i="94"/>
  <c r="D23" i="94"/>
  <c r="D20" i="94"/>
  <c r="D29" i="94"/>
  <c r="D25" i="94"/>
  <c r="C18" i="556"/>
  <c r="K36" i="387"/>
  <c r="L36" i="387" s="1"/>
  <c r="I36" i="387"/>
  <c r="H36" i="387"/>
  <c r="K32" i="387"/>
  <c r="L32" i="387" s="1"/>
  <c r="I32" i="387"/>
  <c r="H32" i="387"/>
  <c r="K28" i="387"/>
  <c r="L28" i="387" s="1"/>
  <c r="I28" i="387"/>
  <c r="H28" i="387"/>
  <c r="K29" i="387"/>
  <c r="L29" i="387" s="1"/>
  <c r="I29" i="387"/>
  <c r="H29" i="387"/>
  <c r="K26" i="387"/>
  <c r="L26" i="387" s="1"/>
  <c r="I26" i="387"/>
  <c r="H26" i="387"/>
  <c r="K25" i="387"/>
  <c r="L25" i="387" s="1"/>
  <c r="I25" i="387"/>
  <c r="H25" i="387"/>
  <c r="K33" i="387"/>
  <c r="L33" i="387" s="1"/>
  <c r="I33" i="387"/>
  <c r="H33" i="387"/>
  <c r="K22" i="387"/>
  <c r="L22" i="387" s="1"/>
  <c r="I22" i="387"/>
  <c r="H22" i="387"/>
  <c r="K23" i="387"/>
  <c r="L23" i="387" s="1"/>
  <c r="I23" i="387"/>
  <c r="H23" i="387"/>
  <c r="D36" i="387"/>
  <c r="D32" i="387"/>
  <c r="D28" i="387"/>
  <c r="D29" i="387"/>
  <c r="D26" i="387"/>
  <c r="D25" i="387"/>
  <c r="D33" i="387"/>
  <c r="D22" i="387"/>
  <c r="D23" i="387"/>
  <c r="K31" i="380"/>
  <c r="I31" i="380"/>
  <c r="H31" i="380"/>
  <c r="K32" i="380"/>
  <c r="I32" i="380"/>
  <c r="H32" i="380"/>
  <c r="D31" i="380"/>
  <c r="D32" i="380"/>
  <c r="K26" i="380"/>
  <c r="I26" i="380"/>
  <c r="H26" i="380"/>
  <c r="K27" i="380"/>
  <c r="I27" i="380"/>
  <c r="H27" i="380"/>
  <c r="K22" i="380"/>
  <c r="L22" i="380" s="1"/>
  <c r="I22" i="380"/>
  <c r="H22" i="380"/>
  <c r="K20" i="380"/>
  <c r="L20" i="380" s="1"/>
  <c r="I20" i="380"/>
  <c r="H20" i="380"/>
  <c r="K29" i="380"/>
  <c r="I29" i="380"/>
  <c r="H29" i="380"/>
  <c r="K35" i="380"/>
  <c r="L35" i="380" s="1"/>
  <c r="I35" i="380"/>
  <c r="H35" i="380"/>
  <c r="K34" i="380"/>
  <c r="I34" i="380"/>
  <c r="H34" i="380"/>
  <c r="K33" i="380"/>
  <c r="I33" i="380"/>
  <c r="H33" i="380"/>
  <c r="K30" i="380"/>
  <c r="I30" i="380"/>
  <c r="H30" i="380"/>
  <c r="K19" i="380"/>
  <c r="I19" i="380"/>
  <c r="H19" i="380"/>
  <c r="K36" i="380"/>
  <c r="L36" i="380" s="1"/>
  <c r="I36" i="380"/>
  <c r="H36" i="380"/>
  <c r="K23" i="380"/>
  <c r="L23" i="380" s="1"/>
  <c r="I23" i="380"/>
  <c r="H23" i="380"/>
  <c r="K25" i="380"/>
  <c r="I25" i="380"/>
  <c r="H25" i="380"/>
  <c r="K24" i="380"/>
  <c r="L24" i="380" s="1"/>
  <c r="I24" i="380"/>
  <c r="H24" i="380"/>
  <c r="K21" i="380"/>
  <c r="I21" i="380"/>
  <c r="H21" i="380"/>
  <c r="K28" i="380"/>
  <c r="L28" i="380" s="1"/>
  <c r="I28" i="380"/>
  <c r="H28" i="380"/>
  <c r="D26" i="380"/>
  <c r="D27" i="380"/>
  <c r="D22" i="380"/>
  <c r="D20" i="380"/>
  <c r="D29" i="380"/>
  <c r="D35" i="380"/>
  <c r="D34" i="380"/>
  <c r="D33" i="380"/>
  <c r="D30" i="380"/>
  <c r="D19" i="380"/>
  <c r="D36" i="380"/>
  <c r="D23" i="380"/>
  <c r="D25" i="380"/>
  <c r="D24" i="380"/>
  <c r="D21" i="380"/>
  <c r="D28" i="380"/>
  <c r="K30" i="83"/>
  <c r="I30" i="83"/>
  <c r="H30" i="83"/>
  <c r="K33" i="83"/>
  <c r="I33" i="83"/>
  <c r="H33" i="83"/>
  <c r="K27" i="83"/>
  <c r="L27" i="83" s="1"/>
  <c r="I27" i="83"/>
  <c r="H27" i="83"/>
  <c r="D30" i="83"/>
  <c r="D33" i="83"/>
  <c r="D27" i="83"/>
  <c r="K26" i="96"/>
  <c r="L26" i="96" s="1"/>
  <c r="I26" i="96"/>
  <c r="H26" i="96"/>
  <c r="K20" i="96"/>
  <c r="L20" i="96" s="1"/>
  <c r="I20" i="96"/>
  <c r="H20" i="96"/>
  <c r="K31" i="96"/>
  <c r="L31" i="96" s="1"/>
  <c r="I31" i="96"/>
  <c r="H31" i="96"/>
  <c r="K19" i="96"/>
  <c r="L19" i="96" s="1"/>
  <c r="I19" i="96"/>
  <c r="H19" i="96"/>
  <c r="K24" i="96"/>
  <c r="L24" i="96" s="1"/>
  <c r="I24" i="96"/>
  <c r="H24" i="96"/>
  <c r="K29" i="96"/>
  <c r="L29" i="96" s="1"/>
  <c r="I29" i="96"/>
  <c r="H29" i="96"/>
  <c r="K21" i="96"/>
  <c r="L21" i="96" s="1"/>
  <c r="I21" i="96"/>
  <c r="H21" i="96"/>
  <c r="K30" i="96"/>
  <c r="L30" i="96" s="1"/>
  <c r="I30" i="96"/>
  <c r="H30" i="96"/>
  <c r="K22" i="96"/>
  <c r="L22" i="96" s="1"/>
  <c r="I22" i="96"/>
  <c r="H22" i="96"/>
  <c r="D26" i="96"/>
  <c r="D20" i="96"/>
  <c r="D31" i="96"/>
  <c r="D19" i="96"/>
  <c r="D24" i="96"/>
  <c r="D29" i="96"/>
  <c r="D21" i="96"/>
  <c r="D30" i="96"/>
  <c r="D22" i="96"/>
  <c r="K19" i="236"/>
  <c r="L19" i="236" s="1"/>
  <c r="I19" i="236"/>
  <c r="H19" i="236"/>
  <c r="D19" i="236"/>
  <c r="K20" i="273"/>
  <c r="L20" i="273" s="1"/>
  <c r="I20" i="273"/>
  <c r="H20" i="273"/>
  <c r="D20" i="273"/>
  <c r="K28" i="41"/>
  <c r="I28" i="41"/>
  <c r="H28" i="41"/>
  <c r="K22" i="41"/>
  <c r="L22" i="41" s="1"/>
  <c r="I22" i="41"/>
  <c r="H22" i="41"/>
  <c r="K27" i="41"/>
  <c r="L27" i="41" s="1"/>
  <c r="I27" i="41"/>
  <c r="H27" i="41"/>
  <c r="K26" i="41"/>
  <c r="I26" i="41"/>
  <c r="H26" i="41"/>
  <c r="D28" i="41"/>
  <c r="D22" i="41"/>
  <c r="D27" i="41"/>
  <c r="D26" i="41"/>
  <c r="L20" i="81" l="1"/>
  <c r="D30" i="556"/>
  <c r="H30" i="556"/>
  <c r="K30" i="556"/>
  <c r="L30" i="556" s="1"/>
  <c r="D22" i="556"/>
  <c r="I22" i="556"/>
  <c r="K22" i="556"/>
  <c r="L22" i="556" s="1"/>
  <c r="I23" i="556"/>
  <c r="H23" i="556"/>
  <c r="K23" i="556"/>
  <c r="L23" i="556" s="1"/>
  <c r="D29" i="556"/>
  <c r="H29" i="556"/>
  <c r="I29" i="556"/>
  <c r="H24" i="556"/>
  <c r="I24" i="556"/>
  <c r="K24" i="556"/>
  <c r="L24" i="556" s="1"/>
  <c r="L22" i="537"/>
  <c r="L26" i="537"/>
  <c r="H22" i="603"/>
  <c r="I22" i="603"/>
  <c r="K22" i="603"/>
  <c r="L22" i="603" s="1"/>
  <c r="H19" i="603"/>
  <c r="I19" i="603"/>
  <c r="K19" i="603"/>
  <c r="L19" i="603" s="1"/>
  <c r="L19" i="131"/>
  <c r="K28" i="617"/>
  <c r="H28" i="617"/>
  <c r="I28" i="617"/>
  <c r="I22" i="246"/>
  <c r="K22" i="246"/>
  <c r="L22" i="246" s="1"/>
  <c r="H22" i="246"/>
  <c r="K21" i="585"/>
  <c r="L21" i="585" s="1"/>
  <c r="I22" i="585"/>
  <c r="K26" i="585"/>
  <c r="L26" i="585" s="1"/>
  <c r="H21" i="585"/>
  <c r="I24" i="585"/>
  <c r="H24" i="585"/>
  <c r="H22" i="585"/>
  <c r="I21" i="585"/>
  <c r="K24" i="585"/>
  <c r="L24" i="585" s="1"/>
  <c r="H30" i="585"/>
  <c r="K22" i="585"/>
  <c r="L22" i="585" s="1"/>
  <c r="H23" i="585"/>
  <c r="I30" i="585"/>
  <c r="H26" i="585"/>
  <c r="I23" i="585"/>
  <c r="K30" i="585"/>
  <c r="L30" i="585" s="1"/>
  <c r="I26" i="585"/>
  <c r="K23" i="585"/>
  <c r="L23" i="585" s="1"/>
  <c r="K31" i="556"/>
  <c r="L31" i="556" s="1"/>
  <c r="D31" i="556"/>
  <c r="H31" i="556"/>
  <c r="D20" i="556"/>
  <c r="H20" i="556"/>
  <c r="I20" i="556"/>
  <c r="H25" i="556"/>
  <c r="K25" i="556"/>
  <c r="L25" i="556" s="1"/>
  <c r="D25" i="556"/>
  <c r="L29" i="380"/>
  <c r="L19" i="380"/>
  <c r="L31" i="380"/>
  <c r="L32" i="380"/>
  <c r="L27" i="380"/>
  <c r="L33" i="380"/>
  <c r="L25" i="380"/>
  <c r="L21" i="380"/>
  <c r="L34" i="380"/>
  <c r="L30" i="380"/>
  <c r="L26" i="380"/>
  <c r="L33" i="83"/>
  <c r="L30" i="83"/>
  <c r="L28" i="41"/>
  <c r="L26" i="41"/>
  <c r="L28" i="617" l="1"/>
  <c r="C22" i="617"/>
  <c r="D22" i="617" s="1"/>
  <c r="C30" i="617"/>
  <c r="D30" i="617" s="1"/>
  <c r="C25" i="617"/>
  <c r="C29" i="617"/>
  <c r="C19" i="617"/>
  <c r="C26" i="617"/>
  <c r="C24" i="617"/>
  <c r="C23" i="617"/>
  <c r="C20" i="617"/>
  <c r="C27" i="617"/>
  <c r="C19" i="246"/>
  <c r="C21" i="246"/>
  <c r="C20" i="246"/>
  <c r="C18" i="246"/>
  <c r="K23" i="145"/>
  <c r="I23" i="145"/>
  <c r="H23" i="145"/>
  <c r="D23" i="145"/>
  <c r="C27" i="621"/>
  <c r="C26" i="621"/>
  <c r="C18" i="621"/>
  <c r="K22" i="330"/>
  <c r="I22" i="330"/>
  <c r="H22" i="330"/>
  <c r="K23" i="330"/>
  <c r="I23" i="330"/>
  <c r="H23" i="330"/>
  <c r="D22" i="330"/>
  <c r="K22" i="617" l="1"/>
  <c r="L22" i="617" s="1"/>
  <c r="I22" i="617"/>
  <c r="H22" i="617"/>
  <c r="H30" i="617"/>
  <c r="K30" i="617"/>
  <c r="L30" i="617" s="1"/>
  <c r="I30" i="617"/>
  <c r="L23" i="145"/>
  <c r="L22" i="330"/>
  <c r="L23" i="330"/>
  <c r="K20" i="70"/>
  <c r="I20" i="70"/>
  <c r="H20" i="70"/>
  <c r="D20" i="70"/>
  <c r="K24" i="583"/>
  <c r="L24" i="583" s="1"/>
  <c r="I24" i="583"/>
  <c r="H24" i="583"/>
  <c r="K20" i="583"/>
  <c r="L20" i="583" s="1"/>
  <c r="I20" i="583"/>
  <c r="H20" i="583"/>
  <c r="D24" i="583"/>
  <c r="D20" i="583"/>
  <c r="K19" i="588"/>
  <c r="I19" i="588"/>
  <c r="H19" i="588"/>
  <c r="K21" i="588"/>
  <c r="I21" i="588"/>
  <c r="H21" i="588"/>
  <c r="D19" i="588"/>
  <c r="D21" i="588"/>
  <c r="L20" i="70" l="1"/>
  <c r="L19" i="588"/>
  <c r="L21" i="588"/>
  <c r="K19" i="102" l="1"/>
  <c r="L19" i="102" s="1"/>
  <c r="I19" i="102"/>
  <c r="H19" i="102"/>
  <c r="D19" i="102"/>
  <c r="C18" i="617" l="1"/>
  <c r="K19" i="287"/>
  <c r="L19" i="287" s="1"/>
  <c r="I19" i="287"/>
  <c r="H19" i="287"/>
  <c r="D19" i="287"/>
  <c r="K24" i="339"/>
  <c r="L24" i="339" s="1"/>
  <c r="I24" i="339"/>
  <c r="H24" i="339"/>
  <c r="K25" i="339"/>
  <c r="L25" i="339" s="1"/>
  <c r="I25" i="339"/>
  <c r="H25" i="339"/>
  <c r="K21" i="339"/>
  <c r="L21" i="339" s="1"/>
  <c r="I21" i="339"/>
  <c r="H21" i="339"/>
  <c r="D24" i="339"/>
  <c r="D25" i="339"/>
  <c r="D21" i="339"/>
  <c r="K20" i="53" l="1"/>
  <c r="L20" i="53" s="1"/>
  <c r="I20" i="53"/>
  <c r="H20" i="53"/>
  <c r="K19" i="53"/>
  <c r="L19" i="53" s="1"/>
  <c r="I19" i="53"/>
  <c r="H19" i="53"/>
  <c r="D20" i="53"/>
  <c r="D19" i="53"/>
  <c r="K20" i="400"/>
  <c r="L20" i="400" s="1"/>
  <c r="I20" i="400"/>
  <c r="H20" i="400"/>
  <c r="K22" i="400"/>
  <c r="L22" i="400" s="1"/>
  <c r="I22" i="400"/>
  <c r="H22" i="400"/>
  <c r="D20" i="400"/>
  <c r="D22" i="400"/>
  <c r="K22" i="278"/>
  <c r="L22" i="278" s="1"/>
  <c r="I22" i="278"/>
  <c r="H22" i="278"/>
  <c r="D22" i="278"/>
  <c r="K24" i="342" l="1"/>
  <c r="L24" i="342" s="1"/>
  <c r="I24" i="342"/>
  <c r="H24" i="342"/>
  <c r="K21" i="342"/>
  <c r="L21" i="342" s="1"/>
  <c r="I21" i="342"/>
  <c r="H21" i="342"/>
  <c r="D24" i="342"/>
  <c r="D21" i="342"/>
  <c r="K25" i="441" l="1"/>
  <c r="L25" i="441" s="1"/>
  <c r="I25" i="441"/>
  <c r="H25" i="441"/>
  <c r="D25" i="441"/>
  <c r="C23" i="579"/>
  <c r="D23" i="579" s="1"/>
  <c r="C24" i="579"/>
  <c r="D24" i="579" s="1"/>
  <c r="C21" i="579"/>
  <c r="D21" i="579" s="1"/>
  <c r="I21" i="136"/>
  <c r="H21" i="136"/>
  <c r="D21" i="136"/>
  <c r="K21" i="120"/>
  <c r="L21" i="120" s="1"/>
  <c r="I21" i="120"/>
  <c r="H21" i="120"/>
  <c r="D21" i="120"/>
  <c r="K19" i="388"/>
  <c r="L19" i="388" s="1"/>
  <c r="I19" i="388"/>
  <c r="H19" i="388"/>
  <c r="D19" i="388"/>
  <c r="K26" i="550"/>
  <c r="L26" i="550" s="1"/>
  <c r="I26" i="550"/>
  <c r="H26" i="550"/>
  <c r="D26" i="550"/>
  <c r="K19" i="599"/>
  <c r="L19" i="599" s="1"/>
  <c r="I19" i="599"/>
  <c r="H19" i="599"/>
  <c r="D19" i="599"/>
  <c r="K21" i="77"/>
  <c r="L21" i="77" s="1"/>
  <c r="I21" i="77"/>
  <c r="H21" i="77"/>
  <c r="D21" i="77"/>
  <c r="K19" i="76"/>
  <c r="L19" i="76" s="1"/>
  <c r="I19" i="76"/>
  <c r="H19" i="76"/>
  <c r="D19" i="76"/>
  <c r="K19" i="50"/>
  <c r="L19" i="50" s="1"/>
  <c r="I19" i="50"/>
  <c r="H19" i="50"/>
  <c r="D19" i="50"/>
  <c r="K23" i="579" l="1"/>
  <c r="L23" i="579" s="1"/>
  <c r="I23" i="579"/>
  <c r="H23" i="579"/>
  <c r="H24" i="579"/>
  <c r="I24" i="579"/>
  <c r="K24" i="579"/>
  <c r="L24" i="579" s="1"/>
  <c r="H21" i="579"/>
  <c r="I21" i="579"/>
  <c r="K21" i="579"/>
  <c r="L21" i="579" s="1"/>
  <c r="K20" i="293"/>
  <c r="I20" i="293"/>
  <c r="H20" i="293"/>
  <c r="D20" i="293"/>
  <c r="K19" i="636"/>
  <c r="L19" i="636" s="1"/>
  <c r="K21" i="636"/>
  <c r="L21" i="636" s="1"/>
  <c r="K18" i="636"/>
  <c r="L18" i="636" s="1"/>
  <c r="DA49" i="7"/>
  <c r="I19" i="636"/>
  <c r="H19" i="636"/>
  <c r="D19" i="636"/>
  <c r="K32" i="636"/>
  <c r="I21" i="636"/>
  <c r="H21" i="636"/>
  <c r="D21" i="636"/>
  <c r="I18" i="636"/>
  <c r="H18" i="636"/>
  <c r="D18" i="636"/>
  <c r="F11" i="636"/>
  <c r="L20" i="293" l="1"/>
  <c r="L29" i="636"/>
  <c r="L30" i="636" s="1"/>
  <c r="L31" i="636" s="1"/>
  <c r="L32" i="636" l="1"/>
  <c r="L33" i="636" s="1"/>
  <c r="K19" i="273" l="1"/>
  <c r="L19" i="273" s="1"/>
  <c r="I19" i="273"/>
  <c r="H19" i="273"/>
  <c r="D19" i="273"/>
  <c r="K22" i="102"/>
  <c r="L22" i="102" s="1"/>
  <c r="I22" i="102"/>
  <c r="H22" i="102"/>
  <c r="D22" i="102"/>
  <c r="K21" i="102"/>
  <c r="L21" i="102" s="1"/>
  <c r="I21" i="102"/>
  <c r="H21" i="102"/>
  <c r="K23" i="102"/>
  <c r="L23" i="102" s="1"/>
  <c r="I23" i="102"/>
  <c r="H23" i="102"/>
  <c r="D21" i="102"/>
  <c r="D23" i="102"/>
  <c r="K19" i="625" l="1"/>
  <c r="L19" i="625" s="1"/>
  <c r="I19" i="625"/>
  <c r="H19" i="625"/>
  <c r="D19" i="625"/>
  <c r="I24" i="136"/>
  <c r="H24" i="136"/>
  <c r="I26" i="136"/>
  <c r="H26" i="136"/>
  <c r="D24" i="136"/>
  <c r="D26" i="136"/>
  <c r="D19" i="294"/>
  <c r="K23" i="96"/>
  <c r="L23" i="96" s="1"/>
  <c r="I23" i="96"/>
  <c r="H23" i="96"/>
  <c r="D23" i="96"/>
  <c r="D35" i="96"/>
  <c r="K20" i="83"/>
  <c r="I20" i="83"/>
  <c r="H20" i="83"/>
  <c r="K31" i="83"/>
  <c r="I31" i="83"/>
  <c r="H31" i="83"/>
  <c r="K25" i="83"/>
  <c r="L25" i="83" s="1"/>
  <c r="I25" i="83"/>
  <c r="H25" i="83"/>
  <c r="K21" i="83"/>
  <c r="L21" i="83" s="1"/>
  <c r="I21" i="83"/>
  <c r="H21" i="83"/>
  <c r="K23" i="83"/>
  <c r="I23" i="83"/>
  <c r="H23" i="83"/>
  <c r="K32" i="83"/>
  <c r="I32" i="83"/>
  <c r="H32" i="83"/>
  <c r="K29" i="83"/>
  <c r="L29" i="83" s="1"/>
  <c r="I29" i="83"/>
  <c r="H29" i="83"/>
  <c r="K24" i="83"/>
  <c r="L24" i="83" s="1"/>
  <c r="I24" i="83"/>
  <c r="H24" i="83"/>
  <c r="K28" i="83"/>
  <c r="I28" i="83"/>
  <c r="H28" i="83"/>
  <c r="K26" i="83"/>
  <c r="I26" i="83"/>
  <c r="H26" i="83"/>
  <c r="K22" i="83"/>
  <c r="L22" i="83" s="1"/>
  <c r="I22" i="83"/>
  <c r="H22" i="83"/>
  <c r="K19" i="83"/>
  <c r="L19" i="83" s="1"/>
  <c r="I19" i="83"/>
  <c r="H19" i="83"/>
  <c r="D20" i="83"/>
  <c r="D31" i="83"/>
  <c r="D25" i="83"/>
  <c r="D21" i="83"/>
  <c r="D23" i="83"/>
  <c r="D32" i="83"/>
  <c r="D29" i="83"/>
  <c r="D24" i="83"/>
  <c r="D28" i="83"/>
  <c r="D26" i="83"/>
  <c r="D22" i="83"/>
  <c r="D19" i="83"/>
  <c r="D29" i="339"/>
  <c r="D20" i="339"/>
  <c r="K29" i="339"/>
  <c r="L29" i="339" s="1"/>
  <c r="I29" i="339"/>
  <c r="H29" i="339"/>
  <c r="K20" i="339"/>
  <c r="L20" i="339" s="1"/>
  <c r="I20" i="339"/>
  <c r="H20" i="339"/>
  <c r="K18" i="339"/>
  <c r="L18" i="339" s="1"/>
  <c r="I18" i="339"/>
  <c r="H18" i="339"/>
  <c r="D18" i="339"/>
  <c r="K18" i="249"/>
  <c r="L18" i="249" s="1"/>
  <c r="I18" i="249"/>
  <c r="H18" i="249"/>
  <c r="D18" i="249"/>
  <c r="K21" i="581"/>
  <c r="L21" i="581" s="1"/>
  <c r="I21" i="581"/>
  <c r="H21" i="581"/>
  <c r="D21" i="581"/>
  <c r="K27" i="75"/>
  <c r="L27" i="75" s="1"/>
  <c r="I27" i="75"/>
  <c r="H27" i="75"/>
  <c r="D27" i="75"/>
  <c r="L28" i="83" l="1"/>
  <c r="L23" i="83"/>
  <c r="L31" i="83"/>
  <c r="L32" i="83"/>
  <c r="L20" i="83"/>
  <c r="L26" i="83"/>
  <c r="K35" i="219" l="1"/>
  <c r="L35" i="219" s="1"/>
  <c r="I35" i="219"/>
  <c r="H35" i="219"/>
  <c r="D35" i="219"/>
  <c r="K26" i="72" l="1"/>
  <c r="L26" i="72" s="1"/>
  <c r="I26" i="72"/>
  <c r="H26" i="72"/>
  <c r="K25" i="72"/>
  <c r="L25" i="72" s="1"/>
  <c r="I25" i="72"/>
  <c r="H25" i="72"/>
  <c r="K24" i="72"/>
  <c r="L24" i="72" s="1"/>
  <c r="I24" i="72"/>
  <c r="H24" i="72"/>
  <c r="K23" i="72"/>
  <c r="L23" i="72" s="1"/>
  <c r="I23" i="72"/>
  <c r="H23" i="72"/>
  <c r="I22" i="72"/>
  <c r="H22" i="72"/>
  <c r="I21" i="72"/>
  <c r="H21" i="72"/>
  <c r="I20" i="72"/>
  <c r="H20" i="72"/>
  <c r="K19" i="72"/>
  <c r="L19" i="72" s="1"/>
  <c r="I19" i="72"/>
  <c r="H19" i="72"/>
  <c r="K18" i="72"/>
  <c r="L18" i="72" s="1"/>
  <c r="I18" i="72"/>
  <c r="H18" i="72"/>
  <c r="D26" i="72"/>
  <c r="D25" i="72"/>
  <c r="D24" i="72"/>
  <c r="D23" i="72"/>
  <c r="D22" i="72"/>
  <c r="D21" i="72"/>
  <c r="D20" i="72"/>
  <c r="D19" i="72"/>
  <c r="D18" i="72"/>
  <c r="C25" i="486"/>
  <c r="D25" i="486" s="1"/>
  <c r="C26" i="486"/>
  <c r="D26" i="486" s="1"/>
  <c r="D26" i="621"/>
  <c r="D27" i="621"/>
  <c r="C20" i="579"/>
  <c r="D20" i="579" s="1"/>
  <c r="C23" i="366"/>
  <c r="K25" i="583"/>
  <c r="L25" i="583" s="1"/>
  <c r="I25" i="583"/>
  <c r="H25" i="583"/>
  <c r="K19" i="583"/>
  <c r="L19" i="583" s="1"/>
  <c r="I19" i="583"/>
  <c r="H19" i="583"/>
  <c r="D25" i="583"/>
  <c r="D19" i="583"/>
  <c r="K20" i="278"/>
  <c r="L20" i="278" s="1"/>
  <c r="I20" i="278"/>
  <c r="H20" i="278"/>
  <c r="D20" i="278"/>
  <c r="D23" i="366" l="1"/>
  <c r="H25" i="486"/>
  <c r="I25" i="486"/>
  <c r="K25" i="486"/>
  <c r="L25" i="486" s="1"/>
  <c r="I26" i="486"/>
  <c r="K26" i="486"/>
  <c r="L26" i="486" s="1"/>
  <c r="H26" i="486"/>
  <c r="H27" i="621"/>
  <c r="I26" i="621"/>
  <c r="K26" i="621"/>
  <c r="I27" i="621"/>
  <c r="K27" i="621"/>
  <c r="H26" i="621"/>
  <c r="K20" i="579"/>
  <c r="L20" i="579" s="1"/>
  <c r="H20" i="579"/>
  <c r="I20" i="579"/>
  <c r="H23" i="366"/>
  <c r="K23" i="366"/>
  <c r="I23" i="366"/>
  <c r="K19" i="278"/>
  <c r="L19" i="278" s="1"/>
  <c r="I19" i="278"/>
  <c r="H19" i="278"/>
  <c r="D19" i="278"/>
  <c r="K28" i="556"/>
  <c r="L28" i="556" s="1"/>
  <c r="I28" i="556"/>
  <c r="H28" i="556"/>
  <c r="D28" i="556"/>
  <c r="I30" i="204"/>
  <c r="H30" i="204"/>
  <c r="D30" i="204"/>
  <c r="C20" i="329"/>
  <c r="D20" i="329" s="1"/>
  <c r="L23" i="366" l="1"/>
  <c r="L26" i="621"/>
  <c r="L27" i="621"/>
  <c r="I20" i="329"/>
  <c r="K20" i="329"/>
  <c r="L20" i="329" s="1"/>
  <c r="H20" i="329"/>
  <c r="C31" i="585" l="1"/>
  <c r="D31" i="585" s="1"/>
  <c r="C27" i="585"/>
  <c r="D27" i="585" s="1"/>
  <c r="H31" i="585" l="1"/>
  <c r="K31" i="585"/>
  <c r="L31" i="585" s="1"/>
  <c r="I31" i="585"/>
  <c r="I27" i="585"/>
  <c r="K27" i="585"/>
  <c r="L27" i="585" s="1"/>
  <c r="H27" i="585"/>
  <c r="C19" i="589" l="1"/>
  <c r="D19" i="589" s="1"/>
  <c r="C20" i="589"/>
  <c r="D20" i="589" s="1"/>
  <c r="C25" i="589"/>
  <c r="D25" i="589" s="1"/>
  <c r="D27" i="617"/>
  <c r="D19" i="617"/>
  <c r="C24" i="189"/>
  <c r="D24" i="189" s="1"/>
  <c r="C25" i="189"/>
  <c r="D25" i="189" s="1"/>
  <c r="H19" i="589" l="1"/>
  <c r="I19" i="589"/>
  <c r="K19" i="589"/>
  <c r="I20" i="589"/>
  <c r="K20" i="589"/>
  <c r="H20" i="589"/>
  <c r="I25" i="589"/>
  <c r="H25" i="589"/>
  <c r="K25" i="589"/>
  <c r="H27" i="617"/>
  <c r="I27" i="617"/>
  <c r="K27" i="617"/>
  <c r="L27" i="617" s="1"/>
  <c r="K19" i="617"/>
  <c r="L19" i="617" s="1"/>
  <c r="I19" i="617"/>
  <c r="H19" i="617"/>
  <c r="H24" i="189"/>
  <c r="I24" i="189"/>
  <c r="K24" i="189"/>
  <c r="H25" i="189"/>
  <c r="I25" i="189"/>
  <c r="K25" i="189"/>
  <c r="L25" i="189" s="1"/>
  <c r="L19" i="589" l="1"/>
  <c r="L20" i="589"/>
  <c r="L25" i="589"/>
  <c r="L24" i="189"/>
  <c r="K21" i="441" l="1"/>
  <c r="L21" i="441" s="1"/>
  <c r="I21" i="441"/>
  <c r="H21" i="441"/>
  <c r="K20" i="441"/>
  <c r="L20" i="441" s="1"/>
  <c r="I20" i="441"/>
  <c r="H20" i="441"/>
  <c r="D21" i="441"/>
  <c r="D20" i="441"/>
  <c r="C27" i="618" l="1"/>
  <c r="D27" i="618" s="1"/>
  <c r="C23" i="618"/>
  <c r="D23" i="618" s="1"/>
  <c r="C26" i="618"/>
  <c r="D26" i="618" s="1"/>
  <c r="C29" i="618"/>
  <c r="D29" i="618" s="1"/>
  <c r="C20" i="618"/>
  <c r="D20" i="618" s="1"/>
  <c r="C19" i="618"/>
  <c r="D19" i="618" s="1"/>
  <c r="C22" i="618"/>
  <c r="D22" i="618" s="1"/>
  <c r="C24" i="618"/>
  <c r="D24" i="618" s="1"/>
  <c r="H27" i="618" l="1"/>
  <c r="I27" i="618"/>
  <c r="K27" i="618"/>
  <c r="L27" i="618" s="1"/>
  <c r="K23" i="618"/>
  <c r="H23" i="618"/>
  <c r="I23" i="618"/>
  <c r="K26" i="618"/>
  <c r="H26" i="618"/>
  <c r="I26" i="618"/>
  <c r="I29" i="618"/>
  <c r="H29" i="618"/>
  <c r="K29" i="618"/>
  <c r="K20" i="618"/>
  <c r="L20" i="618" s="1"/>
  <c r="H20" i="618"/>
  <c r="I20" i="618"/>
  <c r="H19" i="618"/>
  <c r="I19" i="618"/>
  <c r="K19" i="618"/>
  <c r="H22" i="618"/>
  <c r="K22" i="618"/>
  <c r="L22" i="618" s="1"/>
  <c r="I22" i="618"/>
  <c r="H24" i="618"/>
  <c r="I24" i="618"/>
  <c r="K24" i="618"/>
  <c r="L26" i="618" l="1"/>
  <c r="L23" i="618"/>
  <c r="L29" i="618"/>
  <c r="L19" i="618"/>
  <c r="L24" i="618"/>
  <c r="K19" i="581" l="1"/>
  <c r="L19" i="581" s="1"/>
  <c r="I19" i="581"/>
  <c r="H19" i="581"/>
  <c r="D19" i="581"/>
  <c r="K21" i="432" l="1"/>
  <c r="I21" i="432"/>
  <c r="H21" i="432"/>
  <c r="K19" i="432"/>
  <c r="L19" i="432" s="1"/>
  <c r="I19" i="432"/>
  <c r="H19" i="432"/>
  <c r="K22" i="432"/>
  <c r="L22" i="432" s="1"/>
  <c r="I22" i="432"/>
  <c r="H22" i="432"/>
  <c r="D21" i="432"/>
  <c r="D19" i="432"/>
  <c r="D22" i="432"/>
  <c r="C20" i="486"/>
  <c r="D20" i="486" s="1"/>
  <c r="C25" i="618"/>
  <c r="D25" i="618" s="1"/>
  <c r="L21" i="432" l="1"/>
  <c r="H20" i="486"/>
  <c r="K20" i="486"/>
  <c r="L20" i="486" s="1"/>
  <c r="I20" i="486"/>
  <c r="H25" i="618"/>
  <c r="K25" i="618"/>
  <c r="I25" i="618"/>
  <c r="L25" i="618" l="1"/>
  <c r="K21" i="90" l="1"/>
  <c r="I21" i="90"/>
  <c r="H21" i="90"/>
  <c r="D21" i="90"/>
  <c r="L21" i="90" l="1"/>
  <c r="I22" i="136" l="1"/>
  <c r="H22" i="136"/>
  <c r="I19" i="136"/>
  <c r="H19" i="136"/>
  <c r="I23" i="136"/>
  <c r="H23" i="136"/>
  <c r="I20" i="136"/>
  <c r="H20" i="136"/>
  <c r="I25" i="136"/>
  <c r="H25" i="136"/>
  <c r="D22" i="136"/>
  <c r="D19" i="136"/>
  <c r="D23" i="136"/>
  <c r="D20" i="136"/>
  <c r="D25" i="136"/>
  <c r="K20" i="67"/>
  <c r="I20" i="67"/>
  <c r="H20" i="67"/>
  <c r="D20" i="67"/>
  <c r="K19" i="124"/>
  <c r="I19" i="124"/>
  <c r="H19" i="124"/>
  <c r="D19" i="124"/>
  <c r="C25" i="579"/>
  <c r="D25" i="579" s="1"/>
  <c r="K20" i="391"/>
  <c r="L20" i="391" s="1"/>
  <c r="I20" i="391"/>
  <c r="H20" i="391"/>
  <c r="D20" i="391"/>
  <c r="K27" i="96"/>
  <c r="L27" i="96" s="1"/>
  <c r="I27" i="96"/>
  <c r="H27" i="96"/>
  <c r="K25" i="96"/>
  <c r="L25" i="96" s="1"/>
  <c r="I25" i="96"/>
  <c r="H25" i="96"/>
  <c r="D27" i="96"/>
  <c r="D25" i="96"/>
  <c r="L20" i="67" l="1"/>
  <c r="L19" i="124"/>
  <c r="H25" i="579"/>
  <c r="I25" i="579"/>
  <c r="K25" i="579"/>
  <c r="L25" i="579" s="1"/>
  <c r="C20" i="590" l="1"/>
  <c r="D20" i="590" s="1"/>
  <c r="C19" i="590"/>
  <c r="D19" i="590" s="1"/>
  <c r="I20" i="590" l="1"/>
  <c r="K20" i="590"/>
  <c r="H20" i="590"/>
  <c r="K19" i="590"/>
  <c r="I19" i="590"/>
  <c r="H19" i="590"/>
  <c r="L20" i="590" l="1"/>
  <c r="L19" i="590"/>
  <c r="K19" i="635" l="1"/>
  <c r="L19" i="635" s="1"/>
  <c r="K18" i="635"/>
  <c r="L18" i="635" s="1"/>
  <c r="I19" i="635"/>
  <c r="H19" i="635"/>
  <c r="H347" i="7"/>
  <c r="H337" i="7"/>
  <c r="DA337" i="7" s="1"/>
  <c r="D19" i="635"/>
  <c r="K32" i="635"/>
  <c r="I18" i="635"/>
  <c r="H18" i="635"/>
  <c r="D18" i="635"/>
  <c r="F11" i="635"/>
  <c r="L29" i="635" l="1"/>
  <c r="L30" i="635" s="1"/>
  <c r="L31" i="635" s="1"/>
  <c r="L32" i="635" l="1"/>
  <c r="L33" i="635" s="1"/>
  <c r="D29" i="617" l="1"/>
  <c r="C23" i="486"/>
  <c r="D23" i="486" s="1"/>
  <c r="C27" i="486"/>
  <c r="D27" i="486" s="1"/>
  <c r="C21" i="486"/>
  <c r="D21" i="486" s="1"/>
  <c r="D18" i="44"/>
  <c r="C21" i="619"/>
  <c r="D21" i="619" s="1"/>
  <c r="C22" i="619"/>
  <c r="D22" i="619" s="1"/>
  <c r="C23" i="619"/>
  <c r="D23" i="619" s="1"/>
  <c r="C24" i="619"/>
  <c r="D24" i="619" s="1"/>
  <c r="C20" i="619"/>
  <c r="D20" i="619" s="1"/>
  <c r="C25" i="619"/>
  <c r="D25" i="619" s="1"/>
  <c r="H29" i="617" l="1"/>
  <c r="K29" i="617"/>
  <c r="I29" i="617"/>
  <c r="K23" i="486"/>
  <c r="L23" i="486" s="1"/>
  <c r="H23" i="486"/>
  <c r="I23" i="486"/>
  <c r="H27" i="486"/>
  <c r="I27" i="486"/>
  <c r="K27" i="486"/>
  <c r="L27" i="486" s="1"/>
  <c r="K21" i="486"/>
  <c r="L21" i="486" s="1"/>
  <c r="I21" i="486"/>
  <c r="H21" i="486"/>
  <c r="I21" i="619"/>
  <c r="K21" i="619"/>
  <c r="L21" i="619" s="1"/>
  <c r="H21" i="619"/>
  <c r="H22" i="619"/>
  <c r="I22" i="619"/>
  <c r="K22" i="619"/>
  <c r="H23" i="619"/>
  <c r="K23" i="619"/>
  <c r="L23" i="619" s="1"/>
  <c r="I23" i="619"/>
  <c r="I24" i="619"/>
  <c r="K24" i="619"/>
  <c r="L24" i="619" s="1"/>
  <c r="H24" i="619"/>
  <c r="I20" i="619"/>
  <c r="K20" i="619"/>
  <c r="L20" i="619" s="1"/>
  <c r="H20" i="619"/>
  <c r="I25" i="619"/>
  <c r="K25" i="619"/>
  <c r="L25" i="619" s="1"/>
  <c r="H25" i="619"/>
  <c r="L29" i="617" l="1"/>
  <c r="L22" i="619"/>
  <c r="K22" i="77" l="1"/>
  <c r="L22" i="77" s="1"/>
  <c r="I22" i="77"/>
  <c r="H22" i="77"/>
  <c r="D22" i="77"/>
  <c r="C29" i="585" l="1"/>
  <c r="D29" i="585" s="1"/>
  <c r="C28" i="585"/>
  <c r="D28" i="585" s="1"/>
  <c r="C25" i="585"/>
  <c r="D25" i="585" s="1"/>
  <c r="C20" i="585"/>
  <c r="D20" i="585" s="1"/>
  <c r="I29" i="585" l="1"/>
  <c r="H29" i="585"/>
  <c r="K29" i="585"/>
  <c r="L29" i="585" s="1"/>
  <c r="I28" i="585"/>
  <c r="K28" i="585"/>
  <c r="L28" i="585" s="1"/>
  <c r="H28" i="585"/>
  <c r="K25" i="585"/>
  <c r="L25" i="585" s="1"/>
  <c r="H25" i="585"/>
  <c r="I25" i="585"/>
  <c r="H20" i="585"/>
  <c r="I20" i="585"/>
  <c r="K20" i="585"/>
  <c r="L20" i="585" s="1"/>
  <c r="K20" i="97" l="1"/>
  <c r="I20" i="97"/>
  <c r="H20" i="97"/>
  <c r="D20" i="97"/>
  <c r="L20" i="97" l="1"/>
  <c r="K20" i="246" l="1"/>
  <c r="L20" i="246" s="1"/>
  <c r="I20" i="246"/>
  <c r="H20" i="246"/>
  <c r="K19" i="246"/>
  <c r="L19" i="246" s="1"/>
  <c r="I19" i="246"/>
  <c r="H19" i="246"/>
  <c r="K21" i="246"/>
  <c r="L21" i="246" s="1"/>
  <c r="I21" i="246"/>
  <c r="H21" i="246"/>
  <c r="D20" i="246"/>
  <c r="D19" i="246"/>
  <c r="D21" i="246"/>
  <c r="K21" i="278"/>
  <c r="L21" i="278" s="1"/>
  <c r="I21" i="278"/>
  <c r="H21" i="278"/>
  <c r="D21" i="278"/>
  <c r="K20" i="581"/>
  <c r="L20" i="581" s="1"/>
  <c r="I20" i="581"/>
  <c r="H20" i="581"/>
  <c r="D20" i="581"/>
  <c r="K21" i="330"/>
  <c r="I21" i="330"/>
  <c r="H21" i="330"/>
  <c r="K26" i="330"/>
  <c r="I26" i="330"/>
  <c r="H26" i="330"/>
  <c r="D21" i="330"/>
  <c r="D26" i="330"/>
  <c r="L26" i="330" l="1"/>
  <c r="L21" i="330"/>
  <c r="K19" i="556"/>
  <c r="L19" i="556" s="1"/>
  <c r="I19" i="556"/>
  <c r="H19" i="556"/>
  <c r="D19" i="556"/>
  <c r="C21" i="589" l="1"/>
  <c r="D21" i="589" s="1"/>
  <c r="DA436" i="7"/>
  <c r="H21" i="589" l="1"/>
  <c r="I21" i="589"/>
  <c r="K21" i="589"/>
  <c r="L21" i="589" l="1"/>
  <c r="K21" i="81" l="1"/>
  <c r="I21" i="81"/>
  <c r="H21" i="81"/>
  <c r="D21" i="81"/>
  <c r="D20" i="81"/>
  <c r="K19" i="42"/>
  <c r="L19" i="42" s="1"/>
  <c r="I19" i="42"/>
  <c r="H19" i="42"/>
  <c r="D19" i="42"/>
  <c r="L21" i="81" l="1"/>
  <c r="DA66" i="7" l="1"/>
  <c r="K23" i="634"/>
  <c r="I23" i="634"/>
  <c r="H23" i="634"/>
  <c r="K22" i="634"/>
  <c r="I22" i="634"/>
  <c r="H22" i="634"/>
  <c r="K21" i="634"/>
  <c r="L21" i="634" s="1"/>
  <c r="I21" i="634"/>
  <c r="H21" i="634"/>
  <c r="K20" i="634"/>
  <c r="L20" i="634" s="1"/>
  <c r="I20" i="634"/>
  <c r="H20" i="634"/>
  <c r="K19" i="634"/>
  <c r="I19" i="634"/>
  <c r="H19" i="634"/>
  <c r="D23" i="634"/>
  <c r="D22" i="634"/>
  <c r="D21" i="634"/>
  <c r="D20" i="634"/>
  <c r="D19" i="634"/>
  <c r="D21" i="511"/>
  <c r="K21" i="511"/>
  <c r="I21" i="511"/>
  <c r="H21" i="511"/>
  <c r="L22" i="634" l="1"/>
  <c r="L19" i="634"/>
  <c r="L23" i="634"/>
  <c r="L21" i="511"/>
  <c r="C30" i="366" l="1"/>
  <c r="C26" i="366"/>
  <c r="C19" i="585"/>
  <c r="D19" i="585" s="1"/>
  <c r="D26" i="366" l="1"/>
  <c r="D30" i="366"/>
  <c r="I30" i="366"/>
  <c r="K30" i="366"/>
  <c r="H30" i="366"/>
  <c r="H26" i="366"/>
  <c r="I26" i="366"/>
  <c r="K26" i="366"/>
  <c r="K19" i="585"/>
  <c r="L19" i="585" s="1"/>
  <c r="H19" i="585"/>
  <c r="I19" i="585"/>
  <c r="K21" i="76"/>
  <c r="L21" i="76" s="1"/>
  <c r="I21" i="76"/>
  <c r="H21" i="76"/>
  <c r="D21" i="76"/>
  <c r="K23" i="537"/>
  <c r="I23" i="537"/>
  <c r="H23" i="537"/>
  <c r="K19" i="537"/>
  <c r="I19" i="537"/>
  <c r="H19" i="537"/>
  <c r="K20" i="537"/>
  <c r="I20" i="537"/>
  <c r="H20" i="537"/>
  <c r="K27" i="537"/>
  <c r="L27" i="537" s="1"/>
  <c r="I27" i="537"/>
  <c r="H27" i="537"/>
  <c r="K24" i="537"/>
  <c r="I24" i="537"/>
  <c r="H24" i="537"/>
  <c r="K21" i="537"/>
  <c r="I21" i="537"/>
  <c r="H21" i="537"/>
  <c r="D23" i="537"/>
  <c r="D19" i="537"/>
  <c r="D20" i="537"/>
  <c r="D27" i="537"/>
  <c r="D24" i="537"/>
  <c r="D21" i="537"/>
  <c r="K20" i="204"/>
  <c r="I20" i="204"/>
  <c r="H20" i="204"/>
  <c r="K19" i="204"/>
  <c r="I19" i="204"/>
  <c r="H19" i="204"/>
  <c r="D20" i="204"/>
  <c r="D19" i="204"/>
  <c r="K34" i="219"/>
  <c r="I34" i="219"/>
  <c r="H34" i="219"/>
  <c r="K33" i="219"/>
  <c r="L33" i="219" s="1"/>
  <c r="I33" i="219"/>
  <c r="H33" i="219"/>
  <c r="K32" i="219"/>
  <c r="L32" i="219" s="1"/>
  <c r="I32" i="219"/>
  <c r="H32" i="219"/>
  <c r="K31" i="219"/>
  <c r="I31" i="219"/>
  <c r="H31" i="219"/>
  <c r="K30" i="219"/>
  <c r="L30" i="219" s="1"/>
  <c r="I30" i="219"/>
  <c r="H30" i="219"/>
  <c r="K29" i="219"/>
  <c r="I29" i="219"/>
  <c r="H29" i="219"/>
  <c r="K28" i="219"/>
  <c r="I28" i="219"/>
  <c r="H28" i="219"/>
  <c r="D34" i="219"/>
  <c r="D33" i="219"/>
  <c r="D32" i="219"/>
  <c r="D31" i="219"/>
  <c r="D30" i="219"/>
  <c r="D29" i="219"/>
  <c r="D28" i="219"/>
  <c r="DA163" i="7"/>
  <c r="CS163" i="7"/>
  <c r="K19" i="401"/>
  <c r="I19" i="401"/>
  <c r="H19" i="401"/>
  <c r="K21" i="401"/>
  <c r="I21" i="401"/>
  <c r="H21" i="401"/>
  <c r="K20" i="401"/>
  <c r="L20" i="401" s="1"/>
  <c r="I20" i="401"/>
  <c r="H20" i="401"/>
  <c r="D19" i="401"/>
  <c r="D21" i="401"/>
  <c r="D20" i="401"/>
  <c r="K19" i="370"/>
  <c r="I19" i="370"/>
  <c r="H19" i="370"/>
  <c r="D19" i="370"/>
  <c r="L26" i="366" l="1"/>
  <c r="L30" i="366"/>
  <c r="L21" i="537"/>
  <c r="L24" i="537"/>
  <c r="L19" i="537"/>
  <c r="L20" i="537"/>
  <c r="L23" i="537"/>
  <c r="L20" i="204"/>
  <c r="L19" i="204"/>
  <c r="L31" i="219"/>
  <c r="L29" i="219"/>
  <c r="L28" i="219"/>
  <c r="L34" i="219"/>
  <c r="L21" i="401"/>
  <c r="L19" i="401"/>
  <c r="L19" i="370"/>
  <c r="DA435" i="7"/>
  <c r="K20" i="432"/>
  <c r="L20" i="432" s="1"/>
  <c r="I20" i="432"/>
  <c r="H20" i="432"/>
  <c r="D20" i="432"/>
  <c r="K29" i="330" l="1"/>
  <c r="I29" i="330"/>
  <c r="H29" i="330"/>
  <c r="D29" i="330"/>
  <c r="L29" i="330" l="1"/>
  <c r="K18" i="634" l="1"/>
  <c r="K34" i="634"/>
  <c r="I18" i="634"/>
  <c r="H18" i="634"/>
  <c r="D18" i="634"/>
  <c r="F11" i="634"/>
  <c r="K20" i="113"/>
  <c r="L20" i="113" s="1"/>
  <c r="I20" i="113"/>
  <c r="H20" i="113"/>
  <c r="D20" i="113"/>
  <c r="C26" i="579"/>
  <c r="D26" i="579" s="1"/>
  <c r="K33" i="633"/>
  <c r="K18" i="633"/>
  <c r="I18" i="633"/>
  <c r="H18" i="633"/>
  <c r="D18" i="633"/>
  <c r="F11" i="633"/>
  <c r="L18" i="634" l="1"/>
  <c r="H26" i="579"/>
  <c r="I26" i="579"/>
  <c r="K26" i="579"/>
  <c r="L26" i="579" s="1"/>
  <c r="L18" i="633"/>
  <c r="L31" i="634" l="1"/>
  <c r="L30" i="633"/>
  <c r="L32" i="634" l="1"/>
  <c r="L33" i="634" s="1"/>
  <c r="L31" i="633"/>
  <c r="L32" i="633" s="1"/>
  <c r="L34" i="634" l="1"/>
  <c r="L35" i="634" s="1"/>
  <c r="L33" i="633"/>
  <c r="L34" i="633" s="1"/>
  <c r="D29" i="139" l="1"/>
  <c r="K29" i="139"/>
  <c r="I29" i="139"/>
  <c r="H29" i="139"/>
  <c r="L29" i="139" l="1"/>
  <c r="K18" i="525" l="1"/>
  <c r="C18" i="486" l="1"/>
  <c r="D18" i="486" s="1"/>
  <c r="C19" i="486"/>
  <c r="D19" i="486" s="1"/>
  <c r="C24" i="486"/>
  <c r="D24" i="486" s="1"/>
  <c r="C19" i="189"/>
  <c r="D19" i="189" s="1"/>
  <c r="C21" i="189"/>
  <c r="D21" i="189" s="1"/>
  <c r="DA68" i="7"/>
  <c r="C22" i="579"/>
  <c r="D22" i="579" s="1"/>
  <c r="H434" i="7"/>
  <c r="DA434" i="7" s="1"/>
  <c r="DA433" i="7"/>
  <c r="H18" i="486" l="1"/>
  <c r="H24" i="486"/>
  <c r="I18" i="486"/>
  <c r="I24" i="486"/>
  <c r="H19" i="486"/>
  <c r="K18" i="486"/>
  <c r="L18" i="486" s="1"/>
  <c r="K24" i="486"/>
  <c r="L24" i="486" s="1"/>
  <c r="I19" i="486"/>
  <c r="K19" i="486"/>
  <c r="L19" i="486" s="1"/>
  <c r="H19" i="189"/>
  <c r="I19" i="189"/>
  <c r="K19" i="189"/>
  <c r="H21" i="189"/>
  <c r="I21" i="189"/>
  <c r="K21" i="189"/>
  <c r="L21" i="189" s="1"/>
  <c r="H22" i="579"/>
  <c r="I22" i="579"/>
  <c r="K22" i="579"/>
  <c r="L22" i="579" s="1"/>
  <c r="K22" i="588"/>
  <c r="I22" i="588"/>
  <c r="H22" i="588"/>
  <c r="D22" i="588"/>
  <c r="K21" i="556"/>
  <c r="L21" i="556" s="1"/>
  <c r="I21" i="556"/>
  <c r="H21" i="556"/>
  <c r="K27" i="556"/>
  <c r="L27" i="556" s="1"/>
  <c r="I27" i="556"/>
  <c r="H27" i="556"/>
  <c r="K26" i="556"/>
  <c r="L26" i="556" s="1"/>
  <c r="I26" i="556"/>
  <c r="H26" i="556"/>
  <c r="D21" i="556"/>
  <c r="D27" i="556"/>
  <c r="D26" i="556"/>
  <c r="L19" i="189" l="1"/>
  <c r="L22" i="588"/>
  <c r="K19" i="626" l="1"/>
  <c r="L19" i="626" s="1"/>
  <c r="I19" i="626"/>
  <c r="H19" i="626"/>
  <c r="D19" i="626"/>
  <c r="K34" i="626"/>
  <c r="M31" i="626"/>
  <c r="K18" i="626"/>
  <c r="L18" i="626" s="1"/>
  <c r="I18" i="626"/>
  <c r="H18" i="626"/>
  <c r="D18" i="626"/>
  <c r="F11" i="626"/>
  <c r="C18" i="618"/>
  <c r="C19" i="366"/>
  <c r="C22" i="366"/>
  <c r="C28" i="366"/>
  <c r="K24" i="51"/>
  <c r="I24" i="51"/>
  <c r="H24" i="51"/>
  <c r="I30" i="51"/>
  <c r="H30" i="51"/>
  <c r="I29" i="51"/>
  <c r="H29" i="51"/>
  <c r="I28" i="51"/>
  <c r="H28" i="51"/>
  <c r="I19" i="51"/>
  <c r="H19" i="51"/>
  <c r="K25" i="51"/>
  <c r="I25" i="51"/>
  <c r="H25" i="51"/>
  <c r="K27" i="51"/>
  <c r="I27" i="51"/>
  <c r="H27" i="51"/>
  <c r="D24" i="51"/>
  <c r="D30" i="51"/>
  <c r="D29" i="51"/>
  <c r="D28" i="51"/>
  <c r="D19" i="51"/>
  <c r="D25" i="51"/>
  <c r="D27" i="51"/>
  <c r="K21" i="97"/>
  <c r="I21" i="97"/>
  <c r="H21" i="97"/>
  <c r="D21" i="97"/>
  <c r="D28" i="366" l="1"/>
  <c r="D22" i="366"/>
  <c r="D19" i="366"/>
  <c r="L31" i="626"/>
  <c r="L32" i="626" s="1"/>
  <c r="L33" i="626" s="1"/>
  <c r="H19" i="366"/>
  <c r="I19" i="366"/>
  <c r="K19" i="366"/>
  <c r="H22" i="366"/>
  <c r="I22" i="366"/>
  <c r="K22" i="366"/>
  <c r="L22" i="366" s="1"/>
  <c r="K28" i="366"/>
  <c r="H28" i="366"/>
  <c r="I28" i="366"/>
  <c r="L27" i="51"/>
  <c r="L25" i="51"/>
  <c r="L24" i="51"/>
  <c r="L21" i="97"/>
  <c r="L34" i="626" l="1"/>
  <c r="L35" i="626" s="1"/>
  <c r="L19" i="366"/>
  <c r="L28" i="366"/>
  <c r="K19" i="268" l="1"/>
  <c r="L19" i="268" s="1"/>
  <c r="I19" i="268"/>
  <c r="H19" i="268"/>
  <c r="D19" i="268"/>
  <c r="K18" i="625" l="1"/>
  <c r="K34" i="625"/>
  <c r="I18" i="625"/>
  <c r="H18" i="625"/>
  <c r="D18" i="625"/>
  <c r="F11" i="625"/>
  <c r="K20" i="588"/>
  <c r="I20" i="588"/>
  <c r="H20" i="588"/>
  <c r="D20" i="588"/>
  <c r="L18" i="625" l="1"/>
  <c r="L20" i="588"/>
  <c r="L31" i="625" l="1"/>
  <c r="L32" i="625" l="1"/>
  <c r="L33" i="625" s="1"/>
  <c r="L34" i="625" l="1"/>
  <c r="L35" i="625" s="1"/>
  <c r="D19" i="282" l="1"/>
  <c r="K19" i="113" l="1"/>
  <c r="L19" i="113" s="1"/>
  <c r="I19" i="113"/>
  <c r="H19" i="113"/>
  <c r="D19" i="113"/>
  <c r="K23" i="124" l="1"/>
  <c r="I23" i="124"/>
  <c r="H23" i="124"/>
  <c r="D23" i="124"/>
  <c r="K20" i="280"/>
  <c r="L20" i="280" s="1"/>
  <c r="I20" i="280"/>
  <c r="H20" i="280"/>
  <c r="D20" i="280"/>
  <c r="L23" i="124" l="1"/>
  <c r="K22" i="391" l="1"/>
  <c r="I22" i="391"/>
  <c r="H22" i="391"/>
  <c r="D22" i="391"/>
  <c r="K19" i="442"/>
  <c r="I19" i="442"/>
  <c r="H19" i="442"/>
  <c r="D19" i="442"/>
  <c r="K19" i="97"/>
  <c r="L19" i="97" s="1"/>
  <c r="I19" i="97"/>
  <c r="H19" i="97"/>
  <c r="K22" i="97"/>
  <c r="I22" i="97"/>
  <c r="H22" i="97"/>
  <c r="D19" i="97"/>
  <c r="D22" i="97"/>
  <c r="D18" i="120"/>
  <c r="DA29" i="7"/>
  <c r="D23" i="617"/>
  <c r="K21" i="573"/>
  <c r="L21" i="573" s="1"/>
  <c r="I21" i="573"/>
  <c r="H21" i="573"/>
  <c r="D21" i="573"/>
  <c r="L22" i="391" l="1"/>
  <c r="L19" i="442"/>
  <c r="L22" i="97"/>
  <c r="I23" i="617"/>
  <c r="K23" i="617"/>
  <c r="L23" i="617" s="1"/>
  <c r="H23" i="617"/>
  <c r="C19" i="579" l="1"/>
  <c r="D19" i="579" s="1"/>
  <c r="C22" i="189"/>
  <c r="D22" i="189" s="1"/>
  <c r="DA528" i="7"/>
  <c r="K19" i="579" l="1"/>
  <c r="L19" i="579" s="1"/>
  <c r="H19" i="579"/>
  <c r="I19" i="579"/>
  <c r="I22" i="189"/>
  <c r="K22" i="189"/>
  <c r="L22" i="189" s="1"/>
  <c r="H22" i="189"/>
  <c r="K21" i="204" l="1"/>
  <c r="I21" i="204"/>
  <c r="H21" i="204"/>
  <c r="D21" i="204"/>
  <c r="K27" i="330"/>
  <c r="L27" i="330" s="1"/>
  <c r="I27" i="330"/>
  <c r="H27" i="330"/>
  <c r="D27" i="330"/>
  <c r="L21" i="204" l="1"/>
  <c r="K35" i="624" l="1"/>
  <c r="K18" i="624"/>
  <c r="I18" i="624"/>
  <c r="H18" i="624"/>
  <c r="D18" i="624"/>
  <c r="F11" i="624"/>
  <c r="K35" i="623"/>
  <c r="K18" i="623"/>
  <c r="L18" i="623" s="1"/>
  <c r="I18" i="623"/>
  <c r="H18" i="623"/>
  <c r="D18" i="623"/>
  <c r="F11" i="623"/>
  <c r="Q44" i="621"/>
  <c r="K40" i="621"/>
  <c r="D18" i="621"/>
  <c r="F11" i="621"/>
  <c r="K35" i="620"/>
  <c r="C18" i="620"/>
  <c r="I18" i="620" s="1"/>
  <c r="F11" i="620"/>
  <c r="Q43" i="619"/>
  <c r="K39" i="619"/>
  <c r="C19" i="619"/>
  <c r="C18" i="619"/>
  <c r="D18" i="619" s="1"/>
  <c r="F11" i="619"/>
  <c r="I18" i="618"/>
  <c r="Q44" i="618"/>
  <c r="K40" i="618"/>
  <c r="F11" i="618"/>
  <c r="Q46" i="617"/>
  <c r="K42" i="617"/>
  <c r="D25" i="617"/>
  <c r="K20" i="617"/>
  <c r="D24" i="617"/>
  <c r="F11" i="617"/>
  <c r="K20" i="102"/>
  <c r="L20" i="102" s="1"/>
  <c r="I20" i="102"/>
  <c r="H20" i="102"/>
  <c r="D20" i="102"/>
  <c r="L18" i="624" l="1"/>
  <c r="L32" i="624" s="1"/>
  <c r="L32" i="623"/>
  <c r="H18" i="621"/>
  <c r="I18" i="621"/>
  <c r="K18" i="621"/>
  <c r="K18" i="620"/>
  <c r="L18" i="620" s="1"/>
  <c r="D18" i="620"/>
  <c r="H18" i="620"/>
  <c r="I18" i="619"/>
  <c r="D19" i="619"/>
  <c r="H18" i="619"/>
  <c r="H19" i="619"/>
  <c r="K18" i="619"/>
  <c r="K19" i="619"/>
  <c r="I19" i="619"/>
  <c r="H18" i="618"/>
  <c r="K18" i="618"/>
  <c r="L18" i="618" s="1"/>
  <c r="D18" i="618"/>
  <c r="D18" i="617"/>
  <c r="D26" i="617"/>
  <c r="I24" i="617"/>
  <c r="H26" i="617"/>
  <c r="K24" i="617"/>
  <c r="L24" i="617" s="1"/>
  <c r="I26" i="617"/>
  <c r="K26" i="617"/>
  <c r="L26" i="617" s="1"/>
  <c r="K25" i="617"/>
  <c r="L25" i="617" s="1"/>
  <c r="D20" i="617"/>
  <c r="H20" i="617"/>
  <c r="I20" i="617"/>
  <c r="H24" i="617"/>
  <c r="H25" i="617"/>
  <c r="I25" i="617"/>
  <c r="I18" i="617"/>
  <c r="L20" i="617"/>
  <c r="K18" i="617"/>
  <c r="H18" i="617"/>
  <c r="L33" i="624" l="1"/>
  <c r="L34" i="624" s="1"/>
  <c r="L33" i="623"/>
  <c r="L34" i="623" s="1"/>
  <c r="L18" i="621"/>
  <c r="L18" i="619"/>
  <c r="L19" i="619"/>
  <c r="L18" i="617"/>
  <c r="L35" i="624" l="1"/>
  <c r="L36" i="624" s="1"/>
  <c r="L35" i="623"/>
  <c r="L36" i="623" s="1"/>
  <c r="L37" i="621"/>
  <c r="L39" i="621" s="1"/>
  <c r="L40" i="621" s="1"/>
  <c r="L41" i="621" s="1"/>
  <c r="L32" i="620"/>
  <c r="L34" i="620" s="1"/>
  <c r="L35" i="620" s="1"/>
  <c r="L36" i="620" s="1"/>
  <c r="L36" i="619"/>
  <c r="L38" i="619" s="1"/>
  <c r="L37" i="618"/>
  <c r="L39" i="618" s="1"/>
  <c r="L39" i="617"/>
  <c r="L41" i="617" s="1"/>
  <c r="K25" i="41"/>
  <c r="L25" i="41" s="1"/>
  <c r="I25" i="41"/>
  <c r="H25" i="41"/>
  <c r="K20" i="41"/>
  <c r="L20" i="41" s="1"/>
  <c r="I20" i="41"/>
  <c r="H20" i="41"/>
  <c r="K19" i="41"/>
  <c r="L19" i="41" s="1"/>
  <c r="I19" i="41"/>
  <c r="H19" i="41"/>
  <c r="D25" i="41"/>
  <c r="D20" i="41"/>
  <c r="D19" i="41"/>
  <c r="K21" i="124"/>
  <c r="I21" i="124"/>
  <c r="H21" i="124"/>
  <c r="K22" i="124"/>
  <c r="I22" i="124"/>
  <c r="H22" i="124"/>
  <c r="D21" i="124"/>
  <c r="D22" i="124"/>
  <c r="L39" i="619" l="1"/>
  <c r="L40" i="619" s="1"/>
  <c r="L40" i="618"/>
  <c r="L41" i="618" s="1"/>
  <c r="L42" i="617"/>
  <c r="L43" i="617" s="1"/>
  <c r="L21" i="124"/>
  <c r="L22" i="124"/>
  <c r="DA432" i="7" l="1"/>
  <c r="BB432" i="7"/>
  <c r="K19" i="614" l="1"/>
  <c r="K20" i="614"/>
  <c r="K18" i="614"/>
  <c r="K35" i="614" l="1"/>
  <c r="I19" i="614"/>
  <c r="H19" i="614"/>
  <c r="D19" i="614"/>
  <c r="I20" i="614"/>
  <c r="H20" i="614"/>
  <c r="D20" i="614"/>
  <c r="I18" i="614"/>
  <c r="H18" i="614"/>
  <c r="D18" i="614"/>
  <c r="F11" i="614"/>
  <c r="K23" i="400"/>
  <c r="L23" i="400" s="1"/>
  <c r="I23" i="400"/>
  <c r="H23" i="400"/>
  <c r="D23" i="400"/>
  <c r="L18" i="614" l="1"/>
  <c r="L20" i="614"/>
  <c r="L19" i="614"/>
  <c r="L32" i="614" l="1"/>
  <c r="L33" i="614" l="1"/>
  <c r="L34" i="614" s="1"/>
  <c r="L35" i="614" l="1"/>
  <c r="L36" i="614" s="1"/>
  <c r="I26" i="51" l="1"/>
  <c r="H26" i="51"/>
  <c r="D26" i="51"/>
  <c r="C18" i="603" l="1"/>
  <c r="C21" i="603"/>
  <c r="K21" i="603" s="1"/>
  <c r="K19" i="331" l="1"/>
  <c r="L19" i="331" s="1"/>
  <c r="I19" i="331"/>
  <c r="H19" i="331"/>
  <c r="D19" i="331"/>
  <c r="C24" i="589"/>
  <c r="C22" i="589"/>
  <c r="K24" i="589" l="1"/>
  <c r="L24" i="589" s="1"/>
  <c r="D22" i="589"/>
  <c r="D24" i="589"/>
  <c r="I24" i="589"/>
  <c r="H24" i="589"/>
  <c r="I22" i="589"/>
  <c r="K22" i="589"/>
  <c r="H22" i="589"/>
  <c r="L22" i="589" l="1"/>
  <c r="K23" i="41" l="1"/>
  <c r="I23" i="41"/>
  <c r="H23" i="41"/>
  <c r="D23" i="41"/>
  <c r="K25" i="75"/>
  <c r="I25" i="75"/>
  <c r="H25" i="75"/>
  <c r="K21" i="75"/>
  <c r="I21" i="75"/>
  <c r="H21" i="75"/>
  <c r="D25" i="75"/>
  <c r="D21" i="75"/>
  <c r="L23" i="41" l="1"/>
  <c r="L25" i="75"/>
  <c r="L21" i="75"/>
  <c r="K21" i="391" l="1"/>
  <c r="I21" i="391"/>
  <c r="H21" i="391"/>
  <c r="K19" i="391"/>
  <c r="L19" i="391" s="1"/>
  <c r="I19" i="391"/>
  <c r="H19" i="391"/>
  <c r="L21" i="391" l="1"/>
  <c r="K23" i="588"/>
  <c r="L23" i="588" s="1"/>
  <c r="K25" i="330"/>
  <c r="I25" i="330"/>
  <c r="H25" i="330"/>
  <c r="D25" i="330"/>
  <c r="K24" i="330"/>
  <c r="L24" i="330" s="1"/>
  <c r="I24" i="330"/>
  <c r="H24" i="330"/>
  <c r="K19" i="330"/>
  <c r="L19" i="330" s="1"/>
  <c r="I19" i="330"/>
  <c r="H19" i="330"/>
  <c r="K20" i="330"/>
  <c r="I20" i="330"/>
  <c r="H20" i="330"/>
  <c r="L25" i="330" l="1"/>
  <c r="L20" i="330"/>
  <c r="K19" i="340" l="1"/>
  <c r="I19" i="340"/>
  <c r="H19" i="340"/>
  <c r="D19" i="340"/>
  <c r="L19" i="340" l="1"/>
  <c r="K20" i="77" l="1"/>
  <c r="I20" i="77"/>
  <c r="H20" i="77"/>
  <c r="D20" i="77"/>
  <c r="L20" i="77" l="1"/>
  <c r="K18" i="480" l="1"/>
  <c r="D19" i="330" l="1"/>
  <c r="DA480" i="7" l="1"/>
  <c r="D20" i="281"/>
  <c r="K22" i="560"/>
  <c r="L22" i="560" s="1"/>
  <c r="I22" i="560"/>
  <c r="H22" i="560"/>
  <c r="D22" i="560"/>
  <c r="K18" i="52" l="1"/>
  <c r="I18" i="52"/>
  <c r="H18" i="52"/>
  <c r="D18" i="52"/>
  <c r="L18" i="52" l="1"/>
  <c r="K21" i="560" l="1"/>
  <c r="L21" i="560" s="1"/>
  <c r="I21" i="560"/>
  <c r="H21" i="560"/>
  <c r="D21" i="560"/>
  <c r="K18" i="49"/>
  <c r="L18" i="49" s="1"/>
  <c r="I18" i="49"/>
  <c r="H18" i="49"/>
  <c r="D18" i="49"/>
  <c r="D21" i="391"/>
  <c r="D19" i="391"/>
  <c r="K18" i="246" l="1"/>
  <c r="L18" i="246" s="1"/>
  <c r="I18" i="246"/>
  <c r="H18" i="246"/>
  <c r="D18" i="246"/>
  <c r="I20" i="51" l="1"/>
  <c r="H20" i="51"/>
  <c r="I23" i="51"/>
  <c r="H23" i="51"/>
  <c r="D20" i="51"/>
  <c r="D23" i="51"/>
  <c r="K18" i="608" l="1"/>
  <c r="K36" i="608"/>
  <c r="I18" i="608"/>
  <c r="H18" i="608"/>
  <c r="D18" i="608"/>
  <c r="F11" i="608"/>
  <c r="L18" i="608" l="1"/>
  <c r="L33" i="608" l="1"/>
  <c r="L34" i="608" s="1"/>
  <c r="L35" i="608" s="1"/>
  <c r="L36" i="608" l="1"/>
  <c r="L37" i="608" s="1"/>
  <c r="K20" i="75" l="1"/>
  <c r="I20" i="75"/>
  <c r="H20" i="75"/>
  <c r="D20" i="75"/>
  <c r="L20" i="75" l="1"/>
  <c r="K20" i="215" l="1"/>
  <c r="K19" i="215"/>
  <c r="C20" i="603"/>
  <c r="K20" i="603" s="1"/>
  <c r="K33" i="604" l="1"/>
  <c r="K19" i="604"/>
  <c r="I19" i="604"/>
  <c r="H19" i="604"/>
  <c r="D19" i="604"/>
  <c r="K18" i="604"/>
  <c r="I18" i="604"/>
  <c r="H18" i="604"/>
  <c r="D18" i="604"/>
  <c r="F11" i="604"/>
  <c r="K37" i="603"/>
  <c r="I18" i="603"/>
  <c r="H18" i="603"/>
  <c r="D18" i="603"/>
  <c r="F11" i="603"/>
  <c r="L20" i="603" l="1"/>
  <c r="L18" i="604"/>
  <c r="L19" i="604"/>
  <c r="K18" i="603"/>
  <c r="H21" i="603"/>
  <c r="I21" i="603"/>
  <c r="D20" i="603"/>
  <c r="D21" i="603"/>
  <c r="H20" i="603"/>
  <c r="I20" i="603"/>
  <c r="L30" i="604" l="1"/>
  <c r="L18" i="603"/>
  <c r="L21" i="603"/>
  <c r="L31" i="604" l="1"/>
  <c r="L32" i="604" s="1"/>
  <c r="L34" i="603"/>
  <c r="L36" i="603" s="1"/>
  <c r="L33" i="604" l="1"/>
  <c r="L34" i="604" s="1"/>
  <c r="L37" i="603"/>
  <c r="L38" i="603" s="1"/>
  <c r="K34" i="599"/>
  <c r="K18" i="599"/>
  <c r="M31" i="599" s="1"/>
  <c r="I18" i="599"/>
  <c r="H18" i="599"/>
  <c r="D18" i="599"/>
  <c r="F11" i="599"/>
  <c r="D18" i="387"/>
  <c r="K23" i="543"/>
  <c r="L23" i="543" s="1"/>
  <c r="I23" i="543"/>
  <c r="H23" i="543"/>
  <c r="K22" i="543"/>
  <c r="L22" i="543" s="1"/>
  <c r="I22" i="543"/>
  <c r="H22" i="543"/>
  <c r="K21" i="543"/>
  <c r="L21" i="543" s="1"/>
  <c r="I21" i="543"/>
  <c r="H21" i="543"/>
  <c r="D23" i="543"/>
  <c r="D22" i="543"/>
  <c r="D21" i="543"/>
  <c r="L18" i="599" l="1"/>
  <c r="L31" i="599" s="1"/>
  <c r="D20" i="330"/>
  <c r="D24" i="330"/>
  <c r="L32" i="599" l="1"/>
  <c r="L33" i="599" s="1"/>
  <c r="L34" i="599" l="1"/>
  <c r="L35" i="599" s="1"/>
  <c r="K19" i="145"/>
  <c r="I19" i="145"/>
  <c r="H19" i="145"/>
  <c r="D19" i="145"/>
  <c r="K22" i="145"/>
  <c r="I22" i="145"/>
  <c r="H22" i="145"/>
  <c r="D22" i="145"/>
  <c r="L19" i="145" l="1"/>
  <c r="L22" i="145"/>
  <c r="K20" i="543"/>
  <c r="L20" i="543" s="1"/>
  <c r="I20" i="543"/>
  <c r="H20" i="543"/>
  <c r="D20" i="543"/>
  <c r="I19" i="543"/>
  <c r="H19" i="543"/>
  <c r="D19" i="543"/>
  <c r="K24" i="77"/>
  <c r="I24" i="77"/>
  <c r="H24" i="77"/>
  <c r="D24" i="77"/>
  <c r="L24" i="77" l="1"/>
  <c r="I29" i="204" l="1"/>
  <c r="H29" i="204"/>
  <c r="D29" i="204"/>
  <c r="I28" i="204"/>
  <c r="H28" i="204"/>
  <c r="D28" i="204"/>
  <c r="I23" i="432"/>
  <c r="H23" i="432"/>
  <c r="D23" i="432"/>
  <c r="K18" i="442" l="1"/>
  <c r="I18" i="442"/>
  <c r="H18" i="442"/>
  <c r="D18" i="442"/>
  <c r="L18" i="442" l="1"/>
  <c r="K18" i="278" l="1"/>
  <c r="CS285" i="7"/>
  <c r="DA285" i="7"/>
  <c r="K19" i="239" l="1"/>
  <c r="I19" i="239"/>
  <c r="H19" i="239"/>
  <c r="D19" i="239"/>
  <c r="K19" i="294"/>
  <c r="I19" i="294"/>
  <c r="H19" i="294"/>
  <c r="L19" i="239" l="1"/>
  <c r="L19" i="294"/>
  <c r="I24" i="181" l="1"/>
  <c r="H24" i="181"/>
  <c r="D24" i="181"/>
  <c r="D27" i="277"/>
  <c r="I27" i="120" l="1"/>
  <c r="H27" i="120"/>
  <c r="D27" i="120"/>
  <c r="K20" i="120"/>
  <c r="K19" i="120"/>
  <c r="K18" i="120"/>
  <c r="C18" i="579" l="1"/>
  <c r="I23" i="588" l="1"/>
  <c r="H23" i="588"/>
  <c r="D23" i="588"/>
  <c r="K20" i="551" l="1"/>
  <c r="I20" i="551"/>
  <c r="H20" i="551"/>
  <c r="D20" i="551"/>
  <c r="L20" i="551" l="1"/>
  <c r="C20" i="189" l="1"/>
  <c r="D20" i="189" s="1"/>
  <c r="H20" i="189" l="1"/>
  <c r="I20" i="189"/>
  <c r="K20" i="189"/>
  <c r="L20" i="189" s="1"/>
  <c r="K18" i="594" l="1"/>
  <c r="C23" i="189" l="1"/>
  <c r="K18" i="77"/>
  <c r="I18" i="77"/>
  <c r="H18" i="77"/>
  <c r="D18" i="77"/>
  <c r="K20" i="76"/>
  <c r="I20" i="76"/>
  <c r="H20" i="76"/>
  <c r="D20" i="76"/>
  <c r="K19" i="338"/>
  <c r="I19" i="338"/>
  <c r="H19" i="338"/>
  <c r="D19" i="338"/>
  <c r="L18" i="77" l="1"/>
  <c r="L20" i="76"/>
  <c r="L19" i="338"/>
  <c r="H27" i="277" l="1"/>
  <c r="C25" i="366"/>
  <c r="D25" i="366" l="1"/>
  <c r="N25" i="366"/>
  <c r="H25" i="366"/>
  <c r="I25" i="366"/>
  <c r="K25" i="366"/>
  <c r="L25" i="366" s="1"/>
  <c r="O25" i="366" l="1"/>
  <c r="P25" i="366" s="1"/>
  <c r="K18" i="113"/>
  <c r="I18" i="113"/>
  <c r="H18" i="113"/>
  <c r="D18" i="113"/>
  <c r="L18" i="113" l="1"/>
  <c r="L29" i="113" s="1"/>
  <c r="K18" i="583" l="1"/>
  <c r="K41" i="594" l="1"/>
  <c r="F11" i="594"/>
  <c r="L18" i="594" l="1"/>
  <c r="D18" i="594"/>
  <c r="I18" i="594"/>
  <c r="H18" i="594"/>
  <c r="L38" i="594" l="1"/>
  <c r="L40" i="594" s="1"/>
  <c r="L41" i="594" s="1"/>
  <c r="L42" i="594" s="1"/>
  <c r="K19" i="216" l="1"/>
  <c r="I19" i="216"/>
  <c r="H19" i="216"/>
  <c r="D19" i="216"/>
  <c r="L19" i="216" l="1"/>
  <c r="K19" i="281" l="1"/>
  <c r="I19" i="281"/>
  <c r="H19" i="281"/>
  <c r="D19" i="281"/>
  <c r="L19" i="281" l="1"/>
  <c r="K36" i="590" l="1"/>
  <c r="C18" i="590"/>
  <c r="F11" i="590"/>
  <c r="K38" i="589"/>
  <c r="C23" i="589"/>
  <c r="C18" i="589"/>
  <c r="F11" i="589"/>
  <c r="K23" i="589" l="1"/>
  <c r="L23" i="589" s="1"/>
  <c r="H18" i="590"/>
  <c r="I18" i="590"/>
  <c r="D18" i="590"/>
  <c r="K18" i="590"/>
  <c r="D23" i="589"/>
  <c r="H18" i="589"/>
  <c r="I18" i="589"/>
  <c r="H23" i="589"/>
  <c r="K18" i="589"/>
  <c r="I23" i="589"/>
  <c r="D18" i="589"/>
  <c r="L18" i="590" l="1"/>
  <c r="L18" i="589"/>
  <c r="L33" i="590" l="1"/>
  <c r="L35" i="590" s="1"/>
  <c r="L35" i="589"/>
  <c r="L37" i="589" s="1"/>
  <c r="L36" i="590" l="1"/>
  <c r="L37" i="590" s="1"/>
  <c r="L38" i="589"/>
  <c r="L39" i="589" s="1"/>
  <c r="D21" i="400" l="1"/>
  <c r="H21" i="400"/>
  <c r="I21" i="400"/>
  <c r="K21" i="400"/>
  <c r="L21" i="400" s="1"/>
  <c r="D21" i="131" l="1"/>
  <c r="H21" i="131"/>
  <c r="I21" i="131"/>
  <c r="K21" i="131"/>
  <c r="L21" i="131" s="1"/>
  <c r="D20" i="131"/>
  <c r="H20" i="131"/>
  <c r="I20" i="131"/>
  <c r="K20" i="131"/>
  <c r="L20" i="131" s="1"/>
  <c r="I18" i="136" l="1"/>
  <c r="H18" i="136"/>
  <c r="D18" i="136"/>
  <c r="K19" i="551" l="1"/>
  <c r="DA192" i="7" l="1"/>
  <c r="CS192" i="7"/>
  <c r="K19" i="285"/>
  <c r="L19" i="285" s="1"/>
  <c r="I19" i="285"/>
  <c r="H19" i="285"/>
  <c r="D19" i="285"/>
  <c r="K18" i="270" l="1"/>
  <c r="L18" i="270" s="1"/>
  <c r="I18" i="270"/>
  <c r="H18" i="270"/>
  <c r="D18" i="270"/>
  <c r="K19" i="219" l="1"/>
  <c r="L19" i="219" s="1"/>
  <c r="I19" i="219"/>
  <c r="H19" i="219"/>
  <c r="D19" i="219"/>
  <c r="K24" i="145" l="1"/>
  <c r="L24" i="145" s="1"/>
  <c r="I24" i="145"/>
  <c r="H24" i="145"/>
  <c r="D24" i="145"/>
  <c r="I24" i="41" l="1"/>
  <c r="H24" i="41"/>
  <c r="D24" i="41"/>
  <c r="K19" i="280" l="1"/>
  <c r="I19" i="280"/>
  <c r="H19" i="280"/>
  <c r="D19" i="280"/>
  <c r="L19" i="280" l="1"/>
  <c r="K19" i="217" l="1"/>
  <c r="I19" i="217"/>
  <c r="H19" i="217"/>
  <c r="K20" i="217"/>
  <c r="I20" i="217"/>
  <c r="H20" i="217"/>
  <c r="D19" i="217"/>
  <c r="D20" i="217"/>
  <c r="L19" i="217" l="1"/>
  <c r="L20" i="217"/>
  <c r="DA499" i="7" l="1"/>
  <c r="K26" i="139" l="1"/>
  <c r="I26" i="139"/>
  <c r="H26" i="139"/>
  <c r="D26" i="139"/>
  <c r="L26" i="139" l="1"/>
  <c r="H327" i="7" l="1"/>
  <c r="DA327" i="7" s="1"/>
  <c r="K20" i="281" l="1"/>
  <c r="I20" i="281"/>
  <c r="H20" i="281"/>
  <c r="L20" i="281" l="1"/>
  <c r="K33" i="588" l="1"/>
  <c r="K18" i="588"/>
  <c r="I18" i="588"/>
  <c r="H18" i="588"/>
  <c r="D18" i="588"/>
  <c r="F11" i="588"/>
  <c r="DA315" i="7"/>
  <c r="L18" i="588" l="1"/>
  <c r="K19" i="499" l="1"/>
  <c r="I19" i="499"/>
  <c r="H19" i="499"/>
  <c r="D19" i="499"/>
  <c r="L19" i="499" l="1"/>
  <c r="K24" i="219" l="1"/>
  <c r="I24" i="219"/>
  <c r="H24" i="219"/>
  <c r="D24" i="219"/>
  <c r="K19" i="489"/>
  <c r="I19" i="489"/>
  <c r="H19" i="489"/>
  <c r="D19" i="489"/>
  <c r="L24" i="219" l="1"/>
  <c r="L19" i="489"/>
  <c r="K19" i="400" l="1"/>
  <c r="I19" i="400"/>
  <c r="H19" i="400"/>
  <c r="D19" i="400"/>
  <c r="I21" i="41"/>
  <c r="H21" i="41"/>
  <c r="D21" i="41"/>
  <c r="I21" i="51"/>
  <c r="H21" i="51"/>
  <c r="I22" i="51"/>
  <c r="H22" i="51"/>
  <c r="D21" i="51"/>
  <c r="D22" i="51"/>
  <c r="L19" i="400" l="1"/>
  <c r="DA498" i="7" l="1"/>
  <c r="H503" i="7"/>
  <c r="DA503" i="7" s="1"/>
  <c r="H501" i="7"/>
  <c r="DA501" i="7" s="1"/>
  <c r="DA265" i="7"/>
  <c r="CS287" i="7"/>
  <c r="H287" i="7"/>
  <c r="DA287" i="7" s="1"/>
  <c r="CS194" i="7"/>
  <c r="H194" i="7"/>
  <c r="DA194" i="7" s="1"/>
  <c r="DA368" i="7"/>
  <c r="DA275" i="7"/>
  <c r="H211" i="7" l="1"/>
  <c r="K19" i="543" l="1"/>
  <c r="L19" i="543" s="1"/>
  <c r="K18" i="294"/>
  <c r="I18" i="294"/>
  <c r="H18" i="294"/>
  <c r="D18" i="294"/>
  <c r="L18" i="294" l="1"/>
  <c r="K19" i="67" l="1"/>
  <c r="L19" i="67" s="1"/>
  <c r="I19" i="67"/>
  <c r="H19" i="67"/>
  <c r="D19" i="67"/>
  <c r="D18" i="215" l="1"/>
  <c r="DA367" i="7"/>
  <c r="N27" i="366" s="1"/>
  <c r="O27" i="366" s="1"/>
  <c r="P27" i="366" s="1"/>
  <c r="DA255" i="7"/>
  <c r="I19" i="215"/>
  <c r="H19" i="215"/>
  <c r="D19" i="215"/>
  <c r="N19" i="217" l="1"/>
  <c r="O19" i="217" s="1"/>
  <c r="P19" i="217" s="1"/>
  <c r="L19" i="215"/>
  <c r="C18" i="233" l="1"/>
  <c r="DA490" i="7" l="1"/>
  <c r="CS251" i="7"/>
  <c r="CS250" i="7"/>
  <c r="BX250" i="7"/>
  <c r="BB250" i="7"/>
  <c r="DA188" i="7" l="1"/>
  <c r="CS188" i="7"/>
  <c r="BX188" i="7"/>
  <c r="DA457" i="7"/>
  <c r="DA486" i="7"/>
  <c r="DA484" i="7"/>
  <c r="BX484" i="7"/>
  <c r="BB484" i="7"/>
  <c r="K41" i="585" l="1"/>
  <c r="C18" i="585"/>
  <c r="I18" i="585" s="1"/>
  <c r="F11" i="585"/>
  <c r="K18" i="585" l="1"/>
  <c r="L18" i="585" s="1"/>
  <c r="D18" i="585"/>
  <c r="H18" i="585"/>
  <c r="DA441" i="7"/>
  <c r="H473" i="7"/>
  <c r="DA473" i="7" s="1"/>
  <c r="DA372" i="7"/>
  <c r="DA374" i="7"/>
  <c r="DA299" i="7"/>
  <c r="D18" i="579"/>
  <c r="DA24" i="7"/>
  <c r="K26" i="75"/>
  <c r="L26" i="75" s="1"/>
  <c r="I26" i="75"/>
  <c r="H26" i="75"/>
  <c r="K24" i="75"/>
  <c r="I24" i="75"/>
  <c r="H24" i="75"/>
  <c r="D26" i="75"/>
  <c r="D24" i="75"/>
  <c r="DA261" i="7"/>
  <c r="CS261" i="7"/>
  <c r="L24" i="75" l="1"/>
  <c r="L38" i="585" l="1"/>
  <c r="L40" i="585" s="1"/>
  <c r="L41" i="585" s="1"/>
  <c r="L42" i="585" s="1"/>
  <c r="K19" i="332" l="1"/>
  <c r="L19" i="332" s="1"/>
  <c r="I19" i="332"/>
  <c r="H19" i="332"/>
  <c r="D19" i="332"/>
  <c r="DA51" i="7" l="1"/>
  <c r="K36" i="583" l="1"/>
  <c r="I18" i="583"/>
  <c r="H18" i="583"/>
  <c r="D18" i="583"/>
  <c r="F11" i="583"/>
  <c r="L18" i="583" l="1"/>
  <c r="L33" i="583" l="1"/>
  <c r="L34" i="583" l="1"/>
  <c r="L35" i="583" s="1"/>
  <c r="L36" i="583" s="1"/>
  <c r="L37" i="583" s="1"/>
  <c r="DA345" i="7" l="1"/>
  <c r="K19" i="81"/>
  <c r="L19" i="81" s="1"/>
  <c r="I19" i="81"/>
  <c r="H19" i="81"/>
  <c r="D19" i="81"/>
  <c r="K21" i="145" l="1"/>
  <c r="I21" i="145"/>
  <c r="H21" i="145"/>
  <c r="D21" i="145"/>
  <c r="K18" i="280"/>
  <c r="I18" i="280"/>
  <c r="H18" i="280"/>
  <c r="D18" i="280"/>
  <c r="L21" i="145" l="1"/>
  <c r="L18" i="280"/>
  <c r="K27" i="219" l="1"/>
  <c r="L27" i="219" s="1"/>
  <c r="I27" i="219"/>
  <c r="H27" i="219"/>
  <c r="K26" i="219"/>
  <c r="L26" i="219" s="1"/>
  <c r="I26" i="219"/>
  <c r="H26" i="219"/>
  <c r="K25" i="219"/>
  <c r="L25" i="219" s="1"/>
  <c r="I25" i="219"/>
  <c r="H25" i="219"/>
  <c r="K22" i="219"/>
  <c r="I22" i="219"/>
  <c r="H22" i="219"/>
  <c r="K21" i="219"/>
  <c r="I21" i="219"/>
  <c r="H21" i="219"/>
  <c r="K20" i="219"/>
  <c r="L20" i="219" s="1"/>
  <c r="I20" i="219"/>
  <c r="H20" i="219"/>
  <c r="D27" i="219"/>
  <c r="D26" i="219"/>
  <c r="D25" i="219"/>
  <c r="D22" i="219"/>
  <c r="D21" i="219"/>
  <c r="D20" i="219"/>
  <c r="K19" i="75"/>
  <c r="L19" i="75" s="1"/>
  <c r="I19" i="75"/>
  <c r="H19" i="75"/>
  <c r="D19" i="75"/>
  <c r="L21" i="219" l="1"/>
  <c r="L22" i="219"/>
  <c r="K19" i="77" l="1"/>
  <c r="I19" i="77"/>
  <c r="H19" i="77"/>
  <c r="K25" i="77"/>
  <c r="L25" i="77" s="1"/>
  <c r="I25" i="77"/>
  <c r="H25" i="77"/>
  <c r="D19" i="77"/>
  <c r="D25" i="77"/>
  <c r="L19" i="77" l="1"/>
  <c r="K40" i="581" l="1"/>
  <c r="K18" i="581"/>
  <c r="I18" i="581"/>
  <c r="H18" i="581"/>
  <c r="D18" i="581"/>
  <c r="F11" i="581"/>
  <c r="L18" i="581" l="1"/>
  <c r="L37" i="581" l="1"/>
  <c r="L38" i="581" l="1"/>
  <c r="L39" i="581" s="1"/>
  <c r="L40" i="581" l="1"/>
  <c r="L41" i="581" s="1"/>
  <c r="H475" i="7" l="1"/>
  <c r="DA475" i="7" s="1"/>
  <c r="K18" i="579"/>
  <c r="K19" i="574"/>
  <c r="K18" i="574"/>
  <c r="K39" i="579"/>
  <c r="I18" i="579"/>
  <c r="H18" i="579"/>
  <c r="F11" i="579"/>
  <c r="L18" i="579" l="1"/>
  <c r="L36" i="579" l="1"/>
  <c r="L38" i="579" s="1"/>
  <c r="L39" i="579" l="1"/>
  <c r="L40" i="579" s="1"/>
  <c r="K23" i="432" l="1"/>
  <c r="L23" i="432" s="1"/>
  <c r="L30" i="588" l="1"/>
  <c r="L31" i="588" s="1"/>
  <c r="L32" i="588" s="1"/>
  <c r="L33" i="588" s="1"/>
  <c r="L34" i="588" s="1"/>
  <c r="H472" i="7"/>
  <c r="K21" i="549" l="1"/>
  <c r="I21" i="549"/>
  <c r="H21" i="549"/>
  <c r="I20" i="549"/>
  <c r="H20" i="549"/>
  <c r="K19" i="549"/>
  <c r="L19" i="549" s="1"/>
  <c r="I19" i="549"/>
  <c r="H19" i="549"/>
  <c r="K18" i="549"/>
  <c r="I18" i="549"/>
  <c r="H18" i="549"/>
  <c r="K18" i="550"/>
  <c r="I18" i="550"/>
  <c r="H18" i="550"/>
  <c r="I18" i="537"/>
  <c r="H18" i="537"/>
  <c r="K18" i="543"/>
  <c r="I18" i="543"/>
  <c r="H18" i="543"/>
  <c r="K36" i="574"/>
  <c r="I19" i="574"/>
  <c r="H19" i="574"/>
  <c r="D19" i="574"/>
  <c r="I18" i="574"/>
  <c r="H18" i="574"/>
  <c r="D18" i="574"/>
  <c r="F11" i="574"/>
  <c r="K18" i="537" l="1"/>
  <c r="L18" i="537" s="1"/>
  <c r="K20" i="549"/>
  <c r="L20" i="549" s="1"/>
  <c r="L21" i="549"/>
  <c r="L18" i="549"/>
  <c r="L18" i="550"/>
  <c r="L18" i="543"/>
  <c r="L18" i="574"/>
  <c r="L19" i="574"/>
  <c r="L33" i="574" l="1"/>
  <c r="L35" i="574" s="1"/>
  <c r="L36" i="537" l="1"/>
  <c r="L36" i="574"/>
  <c r="L37" i="574" s="1"/>
  <c r="K34" i="573" l="1"/>
  <c r="K18" i="573"/>
  <c r="F11" i="573"/>
  <c r="L18" i="573" l="1"/>
  <c r="H18" i="573"/>
  <c r="D18" i="573"/>
  <c r="I18" i="573"/>
  <c r="L31" i="573" l="1"/>
  <c r="L33" i="573" s="1"/>
  <c r="L34" i="573" s="1"/>
  <c r="L35" i="573" s="1"/>
  <c r="DA334" i="7" l="1"/>
  <c r="K33" i="570" l="1"/>
  <c r="K18" i="570"/>
  <c r="I18" i="570"/>
  <c r="H18" i="570"/>
  <c r="D18" i="570"/>
  <c r="F11" i="570"/>
  <c r="L18" i="570" l="1"/>
  <c r="L30" i="570" s="1"/>
  <c r="L31" i="570" l="1"/>
  <c r="L32" i="570" s="1"/>
  <c r="L33" i="570" l="1"/>
  <c r="L34" i="570" s="1"/>
  <c r="K23" i="75" l="1"/>
  <c r="L23" i="75" s="1"/>
  <c r="I23" i="75"/>
  <c r="H23" i="75"/>
  <c r="D23" i="75"/>
  <c r="D19" i="546"/>
  <c r="H19" i="546"/>
  <c r="I19" i="546"/>
  <c r="K19" i="546"/>
  <c r="L19" i="546" s="1"/>
  <c r="K19" i="282" l="1"/>
  <c r="L19" i="282" s="1"/>
  <c r="I19" i="282"/>
  <c r="H19" i="282"/>
  <c r="DA343" i="7" l="1"/>
  <c r="K19" i="293" l="1"/>
  <c r="L19" i="293" s="1"/>
  <c r="I19" i="293"/>
  <c r="H19" i="293"/>
  <c r="D19" i="293"/>
  <c r="H385" i="7" l="1"/>
  <c r="H383" i="7"/>
  <c r="K19" i="276"/>
  <c r="I19" i="276"/>
  <c r="H19" i="276"/>
  <c r="D19" i="276"/>
  <c r="L19" i="276" l="1"/>
  <c r="K40" i="560" l="1"/>
  <c r="K19" i="560"/>
  <c r="I19" i="560"/>
  <c r="H19" i="560"/>
  <c r="D19" i="560"/>
  <c r="K20" i="560"/>
  <c r="I20" i="560"/>
  <c r="H20" i="560"/>
  <c r="D20" i="560"/>
  <c r="K18" i="560"/>
  <c r="I18" i="560"/>
  <c r="H18" i="560"/>
  <c r="D18" i="560"/>
  <c r="F11" i="560"/>
  <c r="L18" i="560" l="1"/>
  <c r="L20" i="560"/>
  <c r="L19" i="560"/>
  <c r="L37" i="560" l="1"/>
  <c r="L38" i="560" l="1"/>
  <c r="L39" i="560" s="1"/>
  <c r="L40" i="560" l="1"/>
  <c r="L41" i="560" s="1"/>
  <c r="K20" i="139" l="1"/>
  <c r="L20" i="139" s="1"/>
  <c r="I20" i="139"/>
  <c r="H20" i="139"/>
  <c r="D20" i="139"/>
  <c r="K27" i="139"/>
  <c r="I27" i="139"/>
  <c r="H27" i="139"/>
  <c r="D27" i="139"/>
  <c r="L27" i="139" l="1"/>
  <c r="K39" i="556" l="1"/>
  <c r="K18" i="556"/>
  <c r="I18" i="556"/>
  <c r="H18" i="556"/>
  <c r="D18" i="556"/>
  <c r="F11" i="556"/>
  <c r="L18" i="556" l="1"/>
  <c r="L36" i="556" l="1"/>
  <c r="L37" i="556" s="1"/>
  <c r="L38" i="556" s="1"/>
  <c r="L39" i="556" l="1"/>
  <c r="L40" i="556" s="1"/>
  <c r="H18" i="176" l="1"/>
  <c r="K20" i="145" l="1"/>
  <c r="I20" i="145"/>
  <c r="H20" i="145"/>
  <c r="D20" i="145"/>
  <c r="L20" i="145" l="1"/>
  <c r="K18" i="551" l="1"/>
  <c r="K18" i="523"/>
  <c r="H402" i="7"/>
  <c r="DA402" i="7" s="1"/>
  <c r="L402" i="7"/>
  <c r="K38" i="551"/>
  <c r="F11" i="551"/>
  <c r="D18" i="551" l="1"/>
  <c r="D19" i="551"/>
  <c r="I18" i="551"/>
  <c r="H19" i="551"/>
  <c r="I19" i="551"/>
  <c r="H18" i="551"/>
  <c r="L19" i="551" l="1"/>
  <c r="L18" i="551"/>
  <c r="L35" i="551" l="1"/>
  <c r="L37" i="551" s="1"/>
  <c r="L38" i="551" l="1"/>
  <c r="L39" i="551" s="1"/>
  <c r="I23" i="189" l="1"/>
  <c r="D23" i="189" l="1"/>
  <c r="H23" i="189"/>
  <c r="K23" i="189"/>
  <c r="L23" i="189" l="1"/>
  <c r="H18" i="483" l="1"/>
  <c r="K37" i="550" l="1"/>
  <c r="D18" i="550"/>
  <c r="F11" i="550"/>
  <c r="D20" i="549"/>
  <c r="D21" i="549"/>
  <c r="K33" i="549"/>
  <c r="D19" i="549"/>
  <c r="D18" i="549"/>
  <c r="F11" i="549"/>
  <c r="D18" i="51" l="1"/>
  <c r="AZ335" i="7" l="1"/>
  <c r="K31" i="387" s="1"/>
  <c r="L31" i="387" s="1"/>
  <c r="AL335" i="7"/>
  <c r="I18" i="387" l="1"/>
  <c r="H18" i="387"/>
  <c r="H91" i="7" l="1"/>
  <c r="K33" i="546" l="1"/>
  <c r="K18" i="546"/>
  <c r="I18" i="546"/>
  <c r="H18" i="546"/>
  <c r="D18" i="546"/>
  <c r="F11" i="546"/>
  <c r="K31" i="544"/>
  <c r="K18" i="544"/>
  <c r="L18" i="544" s="1"/>
  <c r="I18" i="544"/>
  <c r="H18" i="544"/>
  <c r="D18" i="544"/>
  <c r="F11" i="544"/>
  <c r="K39" i="543"/>
  <c r="D18" i="543"/>
  <c r="F11" i="543"/>
  <c r="K20" i="124"/>
  <c r="I20" i="124"/>
  <c r="H20" i="124"/>
  <c r="D20" i="124"/>
  <c r="L18" i="546" l="1"/>
  <c r="L28" i="544"/>
  <c r="L20" i="124"/>
  <c r="L30" i="546" l="1"/>
  <c r="L29" i="544"/>
  <c r="L30" i="544" s="1"/>
  <c r="L31" i="546" l="1"/>
  <c r="L32" i="546" s="1"/>
  <c r="L31" i="544"/>
  <c r="L32" i="544" s="1"/>
  <c r="L33" i="546" l="1"/>
  <c r="L34" i="546" s="1"/>
  <c r="K19" i="314"/>
  <c r="I19" i="314"/>
  <c r="H19" i="314"/>
  <c r="D19" i="314"/>
  <c r="L19" i="314" l="1"/>
  <c r="K28" i="330" l="1"/>
  <c r="I28" i="330"/>
  <c r="H28" i="330"/>
  <c r="D28" i="330"/>
  <c r="L28" i="330" l="1"/>
  <c r="DA273" i="7"/>
  <c r="H55" i="7" l="1"/>
  <c r="Q38" i="542"/>
  <c r="K34" i="542"/>
  <c r="F11" i="542"/>
  <c r="D18" i="542" l="1"/>
  <c r="I18" i="542"/>
  <c r="H18" i="542"/>
  <c r="L18" i="542" l="1"/>
  <c r="K19" i="528"/>
  <c r="I19" i="528"/>
  <c r="H19" i="528"/>
  <c r="D19" i="528"/>
  <c r="O12" i="217"/>
  <c r="L31" i="542" l="1"/>
  <c r="L33" i="542" s="1"/>
  <c r="L19" i="528"/>
  <c r="L34" i="542" l="1"/>
  <c r="L35" i="542" l="1"/>
  <c r="L32" i="542"/>
  <c r="D18" i="537" l="1"/>
  <c r="K22" i="75"/>
  <c r="I22" i="75"/>
  <c r="H22" i="75"/>
  <c r="D22" i="75"/>
  <c r="L22" i="75" l="1"/>
  <c r="K34" i="541" l="1"/>
  <c r="K18" i="541"/>
  <c r="I18" i="541"/>
  <c r="H18" i="541"/>
  <c r="D18" i="541"/>
  <c r="F11" i="541"/>
  <c r="L18" i="541" l="1"/>
  <c r="F11" i="287"/>
  <c r="L31" i="541" l="1"/>
  <c r="L32" i="541" l="1"/>
  <c r="L33" i="541" s="1"/>
  <c r="L34" i="541" l="1"/>
  <c r="L35" i="541" s="1"/>
  <c r="BB505" i="7" l="1"/>
  <c r="BB504" i="7"/>
  <c r="BB502" i="7"/>
  <c r="K30" i="51" s="1"/>
  <c r="BB500" i="7"/>
  <c r="K29" i="51" s="1"/>
  <c r="BB485" i="7"/>
  <c r="BB483" i="7"/>
  <c r="BB479" i="7"/>
  <c r="BB467" i="7"/>
  <c r="BB460" i="7"/>
  <c r="BB445" i="7"/>
  <c r="BB440" i="7"/>
  <c r="BB438" i="7"/>
  <c r="BB391" i="7"/>
  <c r="BB390" i="7"/>
  <c r="BB369" i="7"/>
  <c r="BB284" i="7"/>
  <c r="BB282" i="7"/>
  <c r="BB268" i="7"/>
  <c r="BB264" i="7"/>
  <c r="BB262" i="7"/>
  <c r="BB260" i="7"/>
  <c r="BB246" i="7"/>
  <c r="BB241" i="7"/>
  <c r="BB239" i="7"/>
  <c r="BB231" i="7"/>
  <c r="BB216" i="7"/>
  <c r="BB200" i="7"/>
  <c r="BB193" i="7"/>
  <c r="BB150" i="7"/>
  <c r="BB90" i="7"/>
  <c r="BB31" i="7"/>
  <c r="BB23" i="7"/>
  <c r="BB22" i="7"/>
  <c r="BB11" i="7"/>
  <c r="K23" i="51" l="1"/>
  <c r="L23" i="51" s="1"/>
  <c r="K20" i="51"/>
  <c r="L20" i="51" s="1"/>
  <c r="K19" i="51"/>
  <c r="K26" i="51"/>
  <c r="L26" i="51" s="1"/>
  <c r="K28" i="51"/>
  <c r="L29" i="51"/>
  <c r="L30" i="51"/>
  <c r="K18" i="51"/>
  <c r="K21" i="51"/>
  <c r="K22" i="51"/>
  <c r="H193" i="7"/>
  <c r="C19" i="68"/>
  <c r="D19" i="68" s="1"/>
  <c r="L28" i="51" l="1"/>
  <c r="L19" i="51"/>
  <c r="L22" i="51"/>
  <c r="L21" i="51"/>
  <c r="I19" i="68"/>
  <c r="K19" i="68"/>
  <c r="H19" i="68"/>
  <c r="L19" i="68" l="1"/>
  <c r="K18" i="96" l="1"/>
  <c r="I18" i="96"/>
  <c r="H18" i="96"/>
  <c r="D18" i="96"/>
  <c r="K39" i="537"/>
  <c r="F11" i="537"/>
  <c r="L18" i="96" l="1"/>
  <c r="K18" i="534" l="1"/>
  <c r="K33" i="534"/>
  <c r="I18" i="534"/>
  <c r="H18" i="534"/>
  <c r="D18" i="534"/>
  <c r="F11" i="534"/>
  <c r="L18" i="534" l="1"/>
  <c r="L30" i="534" s="1"/>
  <c r="L31" i="534" l="1"/>
  <c r="L32" i="534" s="1"/>
  <c r="L33" i="534" l="1"/>
  <c r="L34" i="534" s="1"/>
  <c r="K18" i="181" l="1"/>
  <c r="L18" i="181" s="1"/>
  <c r="I18" i="181"/>
  <c r="H18" i="181"/>
  <c r="I27" i="277" l="1"/>
  <c r="H167" i="7" l="1"/>
  <c r="D19" i="120" l="1"/>
  <c r="H19" i="120"/>
  <c r="I19" i="120"/>
  <c r="L19" i="120"/>
  <c r="K20" i="511" l="1"/>
  <c r="I20" i="511"/>
  <c r="H20" i="511"/>
  <c r="D20" i="511"/>
  <c r="L20" i="511" l="1"/>
  <c r="K36" i="528"/>
  <c r="K18" i="528"/>
  <c r="I18" i="528"/>
  <c r="H18" i="528"/>
  <c r="D18" i="528"/>
  <c r="F11" i="528"/>
  <c r="K36" i="527"/>
  <c r="K18" i="527"/>
  <c r="I18" i="527"/>
  <c r="H18" i="527"/>
  <c r="D18" i="527"/>
  <c r="F11" i="527"/>
  <c r="L18" i="528" l="1"/>
  <c r="L33" i="528" s="1"/>
  <c r="L18" i="527"/>
  <c r="L33" i="527" l="1"/>
  <c r="L34" i="527" s="1"/>
  <c r="L35" i="527" s="1"/>
  <c r="L34" i="528"/>
  <c r="L35" i="528" s="1"/>
  <c r="L36" i="528" l="1"/>
  <c r="L37" i="528" s="1"/>
  <c r="L36" i="527"/>
  <c r="L37" i="527" s="1"/>
  <c r="G52" i="150" l="1"/>
  <c r="K34" i="525"/>
  <c r="I18" i="525"/>
  <c r="H18" i="525"/>
  <c r="D18" i="525"/>
  <c r="F11" i="525"/>
  <c r="D51" i="150"/>
  <c r="D50" i="150"/>
  <c r="L18" i="525" l="1"/>
  <c r="L31" i="525" s="1"/>
  <c r="L32" i="525" l="1"/>
  <c r="L33" i="525" s="1"/>
  <c r="L34" i="525" l="1"/>
  <c r="L35" i="525" s="1"/>
  <c r="DA200" i="524" l="1"/>
  <c r="DA195" i="524"/>
  <c r="DA194" i="524"/>
  <c r="K33" i="524"/>
  <c r="C18" i="524"/>
  <c r="K18" i="524" s="1"/>
  <c r="F11" i="524"/>
  <c r="L18" i="524" l="1"/>
  <c r="L30" i="524" s="1"/>
  <c r="D18" i="524"/>
  <c r="H18" i="524"/>
  <c r="I18" i="524"/>
  <c r="K33" i="523"/>
  <c r="N18" i="523"/>
  <c r="I18" i="523"/>
  <c r="H18" i="523"/>
  <c r="D18" i="523"/>
  <c r="F11" i="523"/>
  <c r="K33" i="522"/>
  <c r="N18" i="522"/>
  <c r="K18" i="522"/>
  <c r="I18" i="522"/>
  <c r="H18" i="522"/>
  <c r="D18" i="522"/>
  <c r="F11" i="522"/>
  <c r="K33" i="521"/>
  <c r="N18" i="521"/>
  <c r="K18" i="521"/>
  <c r="I18" i="521"/>
  <c r="H18" i="521"/>
  <c r="D18" i="521"/>
  <c r="F11" i="521"/>
  <c r="K33" i="520"/>
  <c r="N18" i="520"/>
  <c r="K18" i="520"/>
  <c r="L18" i="520" s="1"/>
  <c r="L30" i="520" s="1"/>
  <c r="I18" i="520"/>
  <c r="H18" i="520"/>
  <c r="D18" i="520"/>
  <c r="F11" i="520"/>
  <c r="K18" i="519"/>
  <c r="K33" i="519"/>
  <c r="N18" i="519"/>
  <c r="I18" i="519"/>
  <c r="H18" i="519"/>
  <c r="D18" i="519"/>
  <c r="F11" i="519"/>
  <c r="O18" i="521" l="1"/>
  <c r="P18" i="521" s="1"/>
  <c r="M30" i="521" s="1"/>
  <c r="O18" i="519"/>
  <c r="P18" i="519" s="1"/>
  <c r="M30" i="519" s="1"/>
  <c r="O18" i="522"/>
  <c r="P18" i="522" s="1"/>
  <c r="M30" i="522" s="1"/>
  <c r="O18" i="523"/>
  <c r="P18" i="523" s="1"/>
  <c r="M30" i="523" s="1"/>
  <c r="O18" i="520"/>
  <c r="P18" i="520" s="1"/>
  <c r="M30" i="520" s="1"/>
  <c r="N30" i="520" s="1"/>
  <c r="L31" i="524"/>
  <c r="L32" i="524" s="1"/>
  <c r="L18" i="523"/>
  <c r="L30" i="523" s="1"/>
  <c r="L18" i="522"/>
  <c r="L30" i="522" s="1"/>
  <c r="L18" i="521"/>
  <c r="L30" i="521" s="1"/>
  <c r="L31" i="520"/>
  <c r="L32" i="520" s="1"/>
  <c r="L18" i="519"/>
  <c r="L30" i="519" s="1"/>
  <c r="AZ326" i="7"/>
  <c r="N30" i="522" l="1"/>
  <c r="N30" i="521"/>
  <c r="N30" i="519"/>
  <c r="N30" i="523"/>
  <c r="L33" i="524"/>
  <c r="L34" i="524" s="1"/>
  <c r="L31" i="523"/>
  <c r="L32" i="523" s="1"/>
  <c r="L31" i="522"/>
  <c r="L32" i="522" s="1"/>
  <c r="L31" i="521"/>
  <c r="L32" i="521" s="1"/>
  <c r="L33" i="520"/>
  <c r="L34" i="520" s="1"/>
  <c r="L31" i="519"/>
  <c r="L32" i="519" s="1"/>
  <c r="L33" i="523" l="1"/>
  <c r="L34" i="523" s="1"/>
  <c r="L33" i="522"/>
  <c r="L34" i="522" s="1"/>
  <c r="L33" i="521"/>
  <c r="L34" i="521" s="1"/>
  <c r="L33" i="519"/>
  <c r="L34" i="519" s="1"/>
  <c r="K18" i="131" l="1"/>
  <c r="K19" i="511" l="1"/>
  <c r="I19" i="511"/>
  <c r="H19" i="511"/>
  <c r="D19" i="511"/>
  <c r="K19" i="512"/>
  <c r="I19" i="512"/>
  <c r="H19" i="512"/>
  <c r="D19" i="512"/>
  <c r="K34" i="512"/>
  <c r="K18" i="512"/>
  <c r="I18" i="512"/>
  <c r="H18" i="512"/>
  <c r="D18" i="512"/>
  <c r="F11" i="512"/>
  <c r="K34" i="511"/>
  <c r="K18" i="511"/>
  <c r="I18" i="511"/>
  <c r="H18" i="511"/>
  <c r="D18" i="511"/>
  <c r="F11" i="511"/>
  <c r="L19" i="511" l="1"/>
  <c r="L19" i="512"/>
  <c r="L18" i="512"/>
  <c r="L18" i="511"/>
  <c r="L31" i="511" l="1"/>
  <c r="L32" i="511" s="1"/>
  <c r="L33" i="511" s="1"/>
  <c r="L31" i="512"/>
  <c r="L32" i="512" l="1"/>
  <c r="L33" i="512" s="1"/>
  <c r="L34" i="512" s="1"/>
  <c r="L35" i="512" s="1"/>
  <c r="L34" i="511"/>
  <c r="L35" i="511" s="1"/>
  <c r="K18" i="466" l="1"/>
  <c r="K18" i="401"/>
  <c r="L18" i="51"/>
  <c r="I18" i="51"/>
  <c r="H18" i="51"/>
  <c r="DA470" i="7" l="1"/>
  <c r="D18" i="436" l="1"/>
  <c r="K33" i="501"/>
  <c r="K18" i="501"/>
  <c r="L18" i="501" s="1"/>
  <c r="L30" i="501" s="1"/>
  <c r="I18" i="501"/>
  <c r="H18" i="501"/>
  <c r="D18" i="501"/>
  <c r="F11" i="501"/>
  <c r="L31" i="501" l="1"/>
  <c r="L32" i="501" s="1"/>
  <c r="L33" i="501" l="1"/>
  <c r="L34" i="501" s="1"/>
  <c r="K32" i="499" l="1"/>
  <c r="K18" i="499"/>
  <c r="I18" i="499"/>
  <c r="H18" i="499"/>
  <c r="D18" i="499"/>
  <c r="F11" i="499"/>
  <c r="K18" i="494"/>
  <c r="I18" i="494"/>
  <c r="H18" i="494"/>
  <c r="D18" i="494"/>
  <c r="L18" i="499" l="1"/>
  <c r="L18" i="494"/>
  <c r="L29" i="499" l="1"/>
  <c r="L30" i="499" l="1"/>
  <c r="L31" i="499" s="1"/>
  <c r="L32" i="499" l="1"/>
  <c r="L33" i="499" s="1"/>
  <c r="K24" i="139" l="1"/>
  <c r="I24" i="139"/>
  <c r="H24" i="139"/>
  <c r="D24" i="139"/>
  <c r="N42" i="139"/>
  <c r="L24" i="139" l="1"/>
  <c r="K18" i="273" l="1"/>
  <c r="L18" i="273" s="1"/>
  <c r="BX335" i="7" l="1"/>
  <c r="H199" i="7"/>
  <c r="H205" i="7"/>
  <c r="DA169" i="7" l="1"/>
  <c r="D18" i="67"/>
  <c r="K18" i="217" l="1"/>
  <c r="K18" i="400" l="1"/>
  <c r="K20" i="64"/>
  <c r="I20" i="64"/>
  <c r="H20" i="64"/>
  <c r="D20" i="64"/>
  <c r="K19" i="64"/>
  <c r="I19" i="64"/>
  <c r="H19" i="64"/>
  <c r="D19" i="64"/>
  <c r="L20" i="64" l="1"/>
  <c r="L19" i="64"/>
  <c r="K33" i="82" l="1"/>
  <c r="K35" i="243"/>
  <c r="K33" i="426"/>
  <c r="K33" i="346"/>
  <c r="K41" i="342"/>
  <c r="K33" i="338"/>
  <c r="K40" i="339"/>
  <c r="K33" i="340"/>
  <c r="K37" i="334"/>
  <c r="K31" i="321"/>
  <c r="K34" i="314"/>
  <c r="K34" i="311"/>
  <c r="K32" i="294"/>
  <c r="K33" i="293"/>
  <c r="K33" i="292"/>
  <c r="K33" i="291"/>
  <c r="K33" i="290"/>
  <c r="K32" i="287"/>
  <c r="K29" i="286"/>
  <c r="K32" i="285"/>
  <c r="K40" i="283"/>
  <c r="K34" i="282"/>
  <c r="K34" i="281"/>
  <c r="K31" i="280"/>
  <c r="K35" i="277"/>
  <c r="K33" i="276"/>
  <c r="K32" i="274"/>
  <c r="K33" i="273"/>
  <c r="K34" i="269"/>
  <c r="K35" i="268"/>
  <c r="K32" i="255"/>
  <c r="K33" i="452"/>
  <c r="K30" i="237"/>
  <c r="K33" i="233"/>
  <c r="K32" i="236"/>
  <c r="K35" i="238"/>
  <c r="K33" i="239"/>
  <c r="K42" i="486"/>
  <c r="K39" i="246"/>
  <c r="K30" i="248"/>
  <c r="K33" i="249"/>
  <c r="K37" i="278"/>
  <c r="K35" i="235"/>
  <c r="K34" i="331"/>
  <c r="K32" i="232"/>
  <c r="K32" i="230"/>
  <c r="K33" i="228"/>
  <c r="K29" i="227"/>
  <c r="K30" i="222"/>
  <c r="K30" i="221"/>
  <c r="K46" i="219"/>
  <c r="K39" i="370"/>
  <c r="K35" i="217"/>
  <c r="K32" i="216"/>
  <c r="K39" i="215"/>
  <c r="K33" i="214"/>
  <c r="K33" i="422"/>
  <c r="K32" i="209"/>
  <c r="K32" i="483"/>
  <c r="K33" i="434"/>
  <c r="K33" i="453"/>
  <c r="K37" i="204"/>
  <c r="K38" i="445"/>
  <c r="K36" i="436"/>
  <c r="K33" i="428"/>
  <c r="K39" i="429"/>
  <c r="K35" i="433"/>
  <c r="K37" i="189"/>
  <c r="K42" i="188"/>
  <c r="K42" i="187"/>
  <c r="K38" i="432"/>
  <c r="K42" i="185"/>
  <c r="K35" i="184"/>
  <c r="K36" i="182"/>
  <c r="K34" i="181"/>
  <c r="K32" i="180"/>
  <c r="K42" i="179"/>
  <c r="K37" i="176"/>
  <c r="K36" i="174"/>
  <c r="K34" i="427"/>
  <c r="K38" i="169"/>
  <c r="K34" i="424"/>
  <c r="K31" i="421"/>
  <c r="K31" i="416"/>
  <c r="K33" i="414"/>
  <c r="K32" i="164"/>
  <c r="K33" i="413"/>
  <c r="K33" i="478"/>
  <c r="K33" i="466"/>
  <c r="K37" i="477"/>
  <c r="K42" i="159"/>
  <c r="K35" i="443"/>
  <c r="K34" i="442"/>
  <c r="K41" i="441"/>
  <c r="K37" i="150"/>
  <c r="K42" i="171"/>
  <c r="K33" i="157"/>
  <c r="K35" i="145"/>
  <c r="K33" i="412"/>
  <c r="K33" i="494"/>
  <c r="K31" i="103"/>
  <c r="K35" i="102"/>
  <c r="K36" i="378"/>
  <c r="K42" i="96"/>
  <c r="K37" i="329"/>
  <c r="K33" i="68"/>
  <c r="K33" i="489"/>
  <c r="K36" i="67"/>
  <c r="K45" i="94"/>
  <c r="K38" i="44"/>
  <c r="K33" i="409"/>
  <c r="K42" i="47"/>
  <c r="K34" i="46"/>
  <c r="K42" i="45"/>
  <c r="K33" i="53"/>
  <c r="K34" i="119"/>
  <c r="K34" i="401"/>
  <c r="K48" i="72"/>
  <c r="K36" i="90"/>
  <c r="K35" i="97"/>
  <c r="K40" i="75"/>
  <c r="K46" i="330"/>
  <c r="K49" i="52"/>
  <c r="K36" i="400"/>
  <c r="K29" i="263"/>
  <c r="K34" i="396"/>
  <c r="K31" i="121"/>
  <c r="K38" i="78"/>
  <c r="K34" i="130"/>
  <c r="K43" i="42"/>
  <c r="K32" i="116"/>
  <c r="K32" i="117"/>
  <c r="K33" i="81"/>
  <c r="K35" i="391"/>
  <c r="K37" i="49"/>
  <c r="K34" i="50"/>
  <c r="K39" i="136"/>
  <c r="K42" i="197"/>
  <c r="K47" i="387"/>
  <c r="K29" i="388"/>
  <c r="K47" i="380"/>
  <c r="K40" i="51"/>
  <c r="K36" i="36"/>
  <c r="K34" i="146"/>
  <c r="K39" i="41"/>
  <c r="K32" i="124"/>
  <c r="K42" i="366"/>
  <c r="K36" i="56"/>
  <c r="K42" i="123"/>
  <c r="K34" i="77"/>
  <c r="K34" i="76"/>
  <c r="K34" i="131"/>
  <c r="K32" i="113"/>
  <c r="K37" i="120"/>
  <c r="K39" i="481"/>
  <c r="K35" i="376"/>
  <c r="K31" i="70"/>
  <c r="K31" i="106"/>
  <c r="K34" i="480"/>
  <c r="K39" i="92"/>
  <c r="K36" i="64"/>
  <c r="K33" i="66"/>
  <c r="K32" i="65"/>
  <c r="K42" i="399"/>
  <c r="K40" i="270"/>
  <c r="K41" i="73"/>
  <c r="K42" i="74"/>
  <c r="K38" i="84"/>
  <c r="K43" i="83"/>
  <c r="K33" i="332"/>
  <c r="K30" i="86"/>
  <c r="K33" i="108"/>
  <c r="M1" i="74"/>
  <c r="M1" i="84"/>
  <c r="M1" i="83"/>
  <c r="M1" i="332"/>
  <c r="M1" i="86"/>
  <c r="K18" i="391" l="1"/>
  <c r="L30" i="494" l="1"/>
  <c r="F11" i="494"/>
  <c r="L31" i="494" l="1"/>
  <c r="L32" i="494" s="1"/>
  <c r="L33" i="494" l="1"/>
  <c r="L34" i="494" s="1"/>
  <c r="H466" i="7" l="1"/>
  <c r="K18" i="489" l="1"/>
  <c r="I18" i="489"/>
  <c r="H18" i="489"/>
  <c r="D18" i="489"/>
  <c r="F11" i="489"/>
  <c r="L18" i="489" l="1"/>
  <c r="L30" i="489" l="1"/>
  <c r="L31" i="489" s="1"/>
  <c r="L32" i="489" s="1"/>
  <c r="L33" i="489" l="1"/>
  <c r="L34" i="489" s="1"/>
  <c r="F11" i="366" l="1"/>
  <c r="F11" i="486"/>
  <c r="F11" i="189"/>
  <c r="F11" i="329"/>
  <c r="Q46" i="486"/>
  <c r="L39" i="486" l="1"/>
  <c r="L41" i="486" l="1"/>
  <c r="L42" i="486" l="1"/>
  <c r="L43" i="486" s="1"/>
  <c r="K18" i="483" l="1"/>
  <c r="L18" i="483" s="1"/>
  <c r="I18" i="483"/>
  <c r="D18" i="483"/>
  <c r="F11" i="483"/>
  <c r="L29" i="483" l="1"/>
  <c r="L30" i="483" s="1"/>
  <c r="L31" i="483" s="1"/>
  <c r="L32" i="483" l="1"/>
  <c r="L33" i="483" s="1"/>
  <c r="K21" i="478" l="1"/>
  <c r="I21" i="478"/>
  <c r="H21" i="478"/>
  <c r="K20" i="478"/>
  <c r="I20" i="478"/>
  <c r="H20" i="478"/>
  <c r="K19" i="478"/>
  <c r="I19" i="478"/>
  <c r="H19" i="478"/>
  <c r="K18" i="478"/>
  <c r="I18" i="478"/>
  <c r="H18" i="478"/>
  <c r="K18" i="477"/>
  <c r="L20" i="478" l="1"/>
  <c r="L19" i="478"/>
  <c r="L21" i="478"/>
  <c r="L18" i="478"/>
  <c r="I20" i="120" l="1"/>
  <c r="H20" i="120"/>
  <c r="D20" i="120"/>
  <c r="L20" i="120" l="1"/>
  <c r="H71" i="7" l="1"/>
  <c r="H325" i="7"/>
  <c r="H326" i="7" s="1"/>
  <c r="DA326" i="7" s="1"/>
  <c r="H215" i="7" l="1"/>
  <c r="K18" i="481"/>
  <c r="L18" i="481" s="1"/>
  <c r="L36" i="481" s="1"/>
  <c r="I18" i="481"/>
  <c r="H18" i="481"/>
  <c r="D18" i="481"/>
  <c r="F11" i="481"/>
  <c r="L37" i="481" l="1"/>
  <c r="L38" i="481" s="1"/>
  <c r="I27" i="480"/>
  <c r="H27" i="480"/>
  <c r="D27" i="480"/>
  <c r="L18" i="480"/>
  <c r="L31" i="480" s="1"/>
  <c r="I18" i="480"/>
  <c r="H18" i="480"/>
  <c r="D18" i="480"/>
  <c r="F11" i="480"/>
  <c r="N9" i="480"/>
  <c r="L39" i="481" l="1"/>
  <c r="L40" i="481" s="1"/>
  <c r="L32" i="480"/>
  <c r="L33" i="480" s="1"/>
  <c r="L34" i="480" l="1"/>
  <c r="L35" i="480" s="1"/>
  <c r="H340" i="7" l="1"/>
  <c r="H339" i="7"/>
  <c r="H341" i="7"/>
  <c r="H335" i="7"/>
  <c r="DA476" i="7"/>
  <c r="H469" i="7"/>
  <c r="DA469" i="7" s="1"/>
  <c r="H468" i="7"/>
  <c r="DA468" i="7" s="1"/>
  <c r="D21" i="478" l="1"/>
  <c r="D20" i="478"/>
  <c r="D19" i="478"/>
  <c r="D18" i="478"/>
  <c r="F11" i="478"/>
  <c r="I18" i="477"/>
  <c r="H18" i="477"/>
  <c r="D18" i="477"/>
  <c r="F11" i="477"/>
  <c r="L36" i="543" l="1"/>
  <c r="L37" i="543" s="1"/>
  <c r="L38" i="543" s="1"/>
  <c r="L39" i="543" s="1"/>
  <c r="L40" i="543" s="1"/>
  <c r="L18" i="477"/>
  <c r="L30" i="478" l="1"/>
  <c r="L34" i="477"/>
  <c r="L31" i="478" l="1"/>
  <c r="L32" i="478" s="1"/>
  <c r="L35" i="477"/>
  <c r="L36" i="477" s="1"/>
  <c r="L33" i="478" l="1"/>
  <c r="L34" i="478" s="1"/>
  <c r="L37" i="477"/>
  <c r="L38" i="477" s="1"/>
  <c r="H320" i="7" l="1"/>
  <c r="DA320" i="7" s="1"/>
  <c r="I18" i="441"/>
  <c r="H18" i="441"/>
  <c r="D18" i="441"/>
  <c r="K18" i="94" l="1"/>
  <c r="I18" i="94"/>
  <c r="H18" i="94"/>
  <c r="D18" i="94"/>
  <c r="L18" i="94" l="1"/>
  <c r="L42" i="94" s="1"/>
  <c r="H471" i="7" l="1"/>
  <c r="D18" i="282"/>
  <c r="I18" i="466" l="1"/>
  <c r="H18" i="466"/>
  <c r="D18" i="466"/>
  <c r="F11" i="466"/>
  <c r="DA348" i="7"/>
  <c r="DA342" i="7"/>
  <c r="DA341" i="7"/>
  <c r="DA340" i="7"/>
  <c r="DA339" i="7"/>
  <c r="L18" i="466" l="1"/>
  <c r="L30" i="466" l="1"/>
  <c r="L31" i="466" s="1"/>
  <c r="L32" i="466" s="1"/>
  <c r="L33" i="466" l="1"/>
  <c r="L34" i="466" s="1"/>
  <c r="H18" i="217" l="1"/>
  <c r="K22" i="139" l="1"/>
  <c r="I22" i="139"/>
  <c r="H22" i="139"/>
  <c r="D22" i="139"/>
  <c r="K18" i="78"/>
  <c r="L22" i="139" l="1"/>
  <c r="K23" i="219" l="1"/>
  <c r="I23" i="219"/>
  <c r="H23" i="219"/>
  <c r="D23" i="219"/>
  <c r="L23" i="219" l="1"/>
  <c r="D18" i="285" l="1"/>
  <c r="K22" i="290" l="1"/>
  <c r="I22" i="290"/>
  <c r="H22" i="290"/>
  <c r="N21" i="290"/>
  <c r="K21" i="290"/>
  <c r="I21" i="290"/>
  <c r="H21" i="290"/>
  <c r="K20" i="290"/>
  <c r="L20" i="290" s="1"/>
  <c r="I20" i="290"/>
  <c r="H20" i="290"/>
  <c r="D22" i="290"/>
  <c r="D21" i="290"/>
  <c r="D20" i="290"/>
  <c r="O21" i="290" l="1"/>
  <c r="P21" i="290" s="1"/>
  <c r="L21" i="290"/>
  <c r="L22" i="290"/>
  <c r="L46" i="52" l="1"/>
  <c r="K18" i="436" l="1"/>
  <c r="I18" i="436"/>
  <c r="H18" i="436"/>
  <c r="L18" i="436" l="1"/>
  <c r="I20" i="215" l="1"/>
  <c r="H20" i="215"/>
  <c r="D20" i="215"/>
  <c r="K19" i="90" l="1"/>
  <c r="L19" i="90" s="1"/>
  <c r="I19" i="90"/>
  <c r="H19" i="90"/>
  <c r="D19" i="90"/>
  <c r="D18" i="453" l="1"/>
  <c r="K18" i="453"/>
  <c r="L18" i="453" s="1"/>
  <c r="L30" i="453" s="1"/>
  <c r="L32" i="453" s="1"/>
  <c r="I18" i="453"/>
  <c r="H18" i="453"/>
  <c r="F11" i="453"/>
  <c r="L33" i="453" l="1"/>
  <c r="L34" i="453" s="1"/>
  <c r="L36" i="246" l="1"/>
  <c r="D19" i="290" l="1"/>
  <c r="K18" i="145" l="1"/>
  <c r="DA478" i="7" l="1"/>
  <c r="K18" i="44" l="1"/>
  <c r="I18" i="44"/>
  <c r="H18" i="44"/>
  <c r="DA179" i="7"/>
  <c r="N19" i="452" s="1"/>
  <c r="O19" i="452" s="1"/>
  <c r="P19" i="452" s="1"/>
  <c r="L18" i="44" l="1"/>
  <c r="DA106" i="7" l="1"/>
  <c r="K18" i="285" l="1"/>
  <c r="I18" i="285"/>
  <c r="H18" i="285"/>
  <c r="L18" i="285" l="1"/>
  <c r="H9" i="7" l="1"/>
  <c r="K19" i="274" l="1"/>
  <c r="L19" i="274" s="1"/>
  <c r="I19" i="274"/>
  <c r="H19" i="274"/>
  <c r="D19" i="274"/>
  <c r="K18" i="81" l="1"/>
  <c r="L18" i="81" s="1"/>
  <c r="I18" i="81"/>
  <c r="H18" i="81"/>
  <c r="D18" i="81"/>
  <c r="K19" i="290"/>
  <c r="I19" i="290"/>
  <c r="H19" i="290"/>
  <c r="L19" i="290" l="1"/>
  <c r="F11" i="452" l="1"/>
  <c r="K18" i="452"/>
  <c r="I18" i="452"/>
  <c r="H18" i="452"/>
  <c r="D18" i="452"/>
  <c r="DA178" i="7"/>
  <c r="L18" i="452" l="1"/>
  <c r="L30" i="452" l="1"/>
  <c r="L31" i="452" l="1"/>
  <c r="L32" i="452" s="1"/>
  <c r="L33" i="452" l="1"/>
  <c r="L34" i="452" s="1"/>
  <c r="K20" i="184" l="1"/>
  <c r="I20" i="184"/>
  <c r="H20" i="184"/>
  <c r="D20" i="184"/>
  <c r="L20" i="184" l="1"/>
  <c r="DA333" i="7" l="1"/>
  <c r="L33" i="436" l="1"/>
  <c r="DA332" i="7" l="1"/>
  <c r="N22" i="290" l="1"/>
  <c r="O22" i="290" s="1"/>
  <c r="P22" i="290" s="1"/>
  <c r="H474" i="7" l="1"/>
  <c r="DA474" i="7" s="1"/>
  <c r="AQ474" i="7"/>
  <c r="DA482" i="7"/>
  <c r="K20" i="445" l="1"/>
  <c r="I20" i="445"/>
  <c r="H20" i="445"/>
  <c r="D20" i="445"/>
  <c r="L20" i="445" l="1"/>
  <c r="I19" i="426" l="1"/>
  <c r="H19" i="426"/>
  <c r="D19" i="426"/>
  <c r="Q40" i="445" l="1"/>
  <c r="F11" i="445"/>
  <c r="K19" i="445" l="1"/>
  <c r="K18" i="445"/>
  <c r="I18" i="445"/>
  <c r="I19" i="445"/>
  <c r="D18" i="445"/>
  <c r="H18" i="445"/>
  <c r="D19" i="445"/>
  <c r="H19" i="445"/>
  <c r="L18" i="445" l="1"/>
  <c r="L19" i="445"/>
  <c r="L35" i="445" l="1"/>
  <c r="L36" i="445" s="1"/>
  <c r="L37" i="445" s="1"/>
  <c r="L38" i="445" l="1"/>
  <c r="L39" i="445" s="1"/>
  <c r="H513" i="7" l="1"/>
  <c r="K18" i="443" l="1"/>
  <c r="L18" i="443" s="1"/>
  <c r="I18" i="443"/>
  <c r="H18" i="443"/>
  <c r="D18" i="443"/>
  <c r="F11" i="443"/>
  <c r="F11" i="442"/>
  <c r="F11" i="441"/>
  <c r="K18" i="441" l="1"/>
  <c r="L18" i="441" s="1"/>
  <c r="L32" i="443"/>
  <c r="L38" i="441" l="1"/>
  <c r="L33" i="443"/>
  <c r="L34" i="443" s="1"/>
  <c r="L35" i="443" l="1"/>
  <c r="L36" i="443" s="1"/>
  <c r="K18" i="255" l="1"/>
  <c r="D18" i="380" l="1"/>
  <c r="D18" i="338" l="1"/>
  <c r="D18" i="330" l="1"/>
  <c r="D18" i="291" l="1"/>
  <c r="K18" i="117" l="1"/>
  <c r="L18" i="117" s="1"/>
  <c r="I18" i="117"/>
  <c r="H18" i="117"/>
  <c r="D18" i="117"/>
  <c r="DA527" i="7" l="1"/>
  <c r="DA526" i="7"/>
  <c r="DA525" i="7"/>
  <c r="DA524" i="7"/>
  <c r="DA523" i="7"/>
  <c r="DA522" i="7"/>
  <c r="DA521" i="7"/>
  <c r="DA520" i="7"/>
  <c r="DA519" i="7"/>
  <c r="DA518" i="7"/>
  <c r="DA517" i="7"/>
  <c r="DA516" i="7"/>
  <c r="DA515" i="7"/>
  <c r="DA514" i="7"/>
  <c r="DA513" i="7"/>
  <c r="DA512" i="7"/>
  <c r="DA511" i="7"/>
  <c r="DA510" i="7"/>
  <c r="DA509" i="7"/>
  <c r="DA508" i="7"/>
  <c r="DA507" i="7"/>
  <c r="DA506" i="7"/>
  <c r="DA505" i="7"/>
  <c r="DA497" i="7"/>
  <c r="DA493" i="7"/>
  <c r="N30" i="366" s="1"/>
  <c r="O30" i="366" s="1"/>
  <c r="P30" i="366" s="1"/>
  <c r="DA492" i="7"/>
  <c r="DA491" i="7"/>
  <c r="DA489" i="7"/>
  <c r="DA488" i="7"/>
  <c r="DA485" i="7"/>
  <c r="N24" i="608" s="1"/>
  <c r="O24" i="608" s="1"/>
  <c r="P24" i="608" s="1"/>
  <c r="DA483" i="7"/>
  <c r="DA481" i="7"/>
  <c r="DA479" i="7"/>
  <c r="DA467" i="7"/>
  <c r="DA463" i="7"/>
  <c r="DA462" i="7"/>
  <c r="DA460" i="7"/>
  <c r="N33" i="83" s="1"/>
  <c r="O33" i="83" s="1"/>
  <c r="P33" i="83" s="1"/>
  <c r="DA459" i="7"/>
  <c r="DA458" i="7"/>
  <c r="DA456" i="7"/>
  <c r="DA454" i="7"/>
  <c r="DA453" i="7"/>
  <c r="DA452" i="7"/>
  <c r="DA448" i="7"/>
  <c r="N20" i="70" s="1"/>
  <c r="O20" i="70" s="1"/>
  <c r="P20" i="70" s="1"/>
  <c r="DA446" i="7"/>
  <c r="DA445" i="7"/>
  <c r="DA443" i="7"/>
  <c r="DA442" i="7"/>
  <c r="DA440" i="7"/>
  <c r="DA437" i="7"/>
  <c r="DA431" i="7"/>
  <c r="DA430" i="7"/>
  <c r="DA429" i="7"/>
  <c r="DA428" i="7"/>
  <c r="DA427" i="7"/>
  <c r="DA426" i="7"/>
  <c r="DA425" i="7"/>
  <c r="DA424" i="7"/>
  <c r="DA423" i="7"/>
  <c r="DA422" i="7"/>
  <c r="DA421" i="7"/>
  <c r="DA420" i="7"/>
  <c r="DA419" i="7"/>
  <c r="DA417" i="7"/>
  <c r="DA415" i="7"/>
  <c r="DA414" i="7"/>
  <c r="DA413" i="7"/>
  <c r="DA412" i="7"/>
  <c r="DA411" i="7"/>
  <c r="DA410" i="7"/>
  <c r="DA409" i="7"/>
  <c r="DA408" i="7"/>
  <c r="DA407" i="7"/>
  <c r="DA406" i="7"/>
  <c r="DA405" i="7"/>
  <c r="DA404" i="7"/>
  <c r="DA403" i="7"/>
  <c r="DA401" i="7"/>
  <c r="DA399" i="7"/>
  <c r="DA398" i="7"/>
  <c r="DA397" i="7"/>
  <c r="DA396" i="7"/>
  <c r="N25" i="432" s="1"/>
  <c r="O25" i="432" s="1"/>
  <c r="P25" i="432" s="1"/>
  <c r="DA395" i="7"/>
  <c r="DA394" i="7"/>
  <c r="DA393" i="7"/>
  <c r="DA392" i="7"/>
  <c r="DA391" i="7"/>
  <c r="DA390" i="7"/>
  <c r="N26" i="537" s="1"/>
  <c r="O26" i="537" s="1"/>
  <c r="P26" i="537" s="1"/>
  <c r="DA389" i="7"/>
  <c r="DA388" i="7"/>
  <c r="DA387" i="7"/>
  <c r="DA385" i="7"/>
  <c r="DA383" i="7"/>
  <c r="DA381" i="7"/>
  <c r="DA380" i="7"/>
  <c r="DA378" i="7"/>
  <c r="DA377" i="7"/>
  <c r="DA376" i="7"/>
  <c r="DA375" i="7"/>
  <c r="DA373" i="7"/>
  <c r="DA371" i="7"/>
  <c r="DA370" i="7"/>
  <c r="DA369" i="7"/>
  <c r="DA363" i="7"/>
  <c r="DA362" i="7"/>
  <c r="DA359" i="7"/>
  <c r="DA357" i="7"/>
  <c r="DA354" i="7"/>
  <c r="DA352" i="7"/>
  <c r="DA350" i="7"/>
  <c r="DA338" i="7"/>
  <c r="DA335" i="7"/>
  <c r="DA331" i="7"/>
  <c r="DA330" i="7"/>
  <c r="DA329" i="7"/>
  <c r="DA328" i="7"/>
  <c r="DA324" i="7"/>
  <c r="DA322" i="7"/>
  <c r="DA321" i="7"/>
  <c r="DA318" i="7"/>
  <c r="DA317" i="7"/>
  <c r="DA314" i="7"/>
  <c r="DA313" i="7"/>
  <c r="DA312" i="7"/>
  <c r="DA311" i="7"/>
  <c r="DA310" i="7"/>
  <c r="DA309" i="7"/>
  <c r="DA308" i="7"/>
  <c r="DA307" i="7"/>
  <c r="DA306" i="7"/>
  <c r="DA305" i="7"/>
  <c r="DA303" i="7"/>
  <c r="DA302" i="7"/>
  <c r="DA301" i="7"/>
  <c r="DA300" i="7"/>
  <c r="DA298" i="7"/>
  <c r="DA297" i="7"/>
  <c r="DA295" i="7"/>
  <c r="DA292" i="7"/>
  <c r="DA291" i="7"/>
  <c r="DA290" i="7"/>
  <c r="DA288" i="7"/>
  <c r="DA281" i="7"/>
  <c r="DA279" i="7"/>
  <c r="DA278" i="7"/>
  <c r="DA276" i="7"/>
  <c r="DA274" i="7"/>
  <c r="DA272" i="7"/>
  <c r="N23" i="145" s="1"/>
  <c r="O23" i="145" s="1"/>
  <c r="P23" i="145" s="1"/>
  <c r="DA268" i="7"/>
  <c r="DA267" i="7"/>
  <c r="DA264" i="7"/>
  <c r="DA262" i="7"/>
  <c r="DA260" i="7"/>
  <c r="DA259" i="7"/>
  <c r="DA258" i="7"/>
  <c r="N21" i="90" s="1"/>
  <c r="O21" i="90" s="1"/>
  <c r="P21" i="90" s="1"/>
  <c r="DA257" i="7"/>
  <c r="N29" i="380" s="1"/>
  <c r="O29" i="380" s="1"/>
  <c r="P29" i="380" s="1"/>
  <c r="DA254" i="7"/>
  <c r="DA249" i="7"/>
  <c r="DA245" i="7"/>
  <c r="DA240" i="7"/>
  <c r="DA239" i="7"/>
  <c r="N22" i="41" s="1"/>
  <c r="O22" i="41" s="1"/>
  <c r="P22" i="41" s="1"/>
  <c r="DA238" i="7"/>
  <c r="DA234" i="7"/>
  <c r="DA230" i="7"/>
  <c r="DA223" i="7"/>
  <c r="DA222" i="7"/>
  <c r="DA221" i="7"/>
  <c r="DA214" i="7"/>
  <c r="DA212" i="7"/>
  <c r="DA211" i="7"/>
  <c r="DA209" i="7"/>
  <c r="DA190" i="7"/>
  <c r="N21" i="608" s="1"/>
  <c r="O21" i="608" s="1"/>
  <c r="P21" i="608" s="1"/>
  <c r="DA189" i="7"/>
  <c r="DA187" i="7"/>
  <c r="DA186" i="7"/>
  <c r="DA185" i="7"/>
  <c r="DA177" i="7"/>
  <c r="DA176" i="7"/>
  <c r="DA175" i="7"/>
  <c r="DA174" i="7"/>
  <c r="DA173" i="7"/>
  <c r="DA172" i="7"/>
  <c r="DA171" i="7"/>
  <c r="DA170" i="7"/>
  <c r="DA168" i="7"/>
  <c r="DA167" i="7"/>
  <c r="DA166" i="7"/>
  <c r="DA165" i="7"/>
  <c r="DA164" i="7"/>
  <c r="DA162" i="7"/>
  <c r="DA160" i="7"/>
  <c r="DA159" i="7"/>
  <c r="DA158" i="7"/>
  <c r="DA157" i="7"/>
  <c r="DA153" i="7"/>
  <c r="DA152" i="7"/>
  <c r="DA151" i="7"/>
  <c r="DA149" i="7"/>
  <c r="DA148" i="7"/>
  <c r="DA146" i="7"/>
  <c r="DA145" i="7"/>
  <c r="DA143" i="7"/>
  <c r="DA142" i="7"/>
  <c r="DA137" i="7"/>
  <c r="DA136" i="7"/>
  <c r="DA135" i="7"/>
  <c r="DA130" i="7"/>
  <c r="DA128" i="7"/>
  <c r="DA124" i="7"/>
  <c r="DA123" i="7"/>
  <c r="DA122" i="7"/>
  <c r="DA119" i="7"/>
  <c r="DA118" i="7"/>
  <c r="DA116" i="7"/>
  <c r="DA111" i="7"/>
  <c r="DA108" i="7"/>
  <c r="DA105" i="7"/>
  <c r="DA104" i="7"/>
  <c r="DA94" i="7"/>
  <c r="DA93" i="7"/>
  <c r="DA92" i="7"/>
  <c r="DA89" i="7"/>
  <c r="DA88" i="7"/>
  <c r="DA73" i="7"/>
  <c r="N21" i="380" s="1"/>
  <c r="O21" i="380" s="1"/>
  <c r="P21" i="380" s="1"/>
  <c r="DA72" i="7"/>
  <c r="DA71" i="7"/>
  <c r="DA70" i="7"/>
  <c r="DA69" i="7"/>
  <c r="DA67" i="7"/>
  <c r="N18" i="651" s="1"/>
  <c r="O18" i="651" s="1"/>
  <c r="P18" i="651" s="1"/>
  <c r="M36" i="651" s="1"/>
  <c r="N36" i="651" s="1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0" i="7"/>
  <c r="N19" i="287" s="1"/>
  <c r="O19" i="287" s="1"/>
  <c r="P19" i="287" s="1"/>
  <c r="DA48" i="7"/>
  <c r="DA47" i="7"/>
  <c r="DA46" i="7"/>
  <c r="DA45" i="7"/>
  <c r="DA44" i="7"/>
  <c r="DA43" i="7"/>
  <c r="DA42" i="7"/>
  <c r="DA41" i="7"/>
  <c r="DA40" i="7"/>
  <c r="DA39" i="7"/>
  <c r="DA38" i="7"/>
  <c r="DA37" i="7"/>
  <c r="DA36" i="7"/>
  <c r="DA35" i="7"/>
  <c r="DA34" i="7"/>
  <c r="DA33" i="7"/>
  <c r="DA32" i="7"/>
  <c r="DA30" i="7"/>
  <c r="DA27" i="7"/>
  <c r="DA26" i="7"/>
  <c r="DA25" i="7"/>
  <c r="DA23" i="7"/>
  <c r="DA22" i="7"/>
  <c r="N20" i="366" s="1"/>
  <c r="O20" i="366" s="1"/>
  <c r="P20" i="366" s="1"/>
  <c r="DA21" i="7"/>
  <c r="DA19" i="7"/>
  <c r="DA18" i="7"/>
  <c r="DA17" i="7"/>
  <c r="DA16" i="7"/>
  <c r="DA15" i="7"/>
  <c r="DA14" i="7"/>
  <c r="DA13" i="7"/>
  <c r="N19" i="366" s="1"/>
  <c r="O19" i="366" s="1"/>
  <c r="P19" i="366" s="1"/>
  <c r="DA12" i="7"/>
  <c r="DA11" i="7"/>
  <c r="N19" i="608" s="1"/>
  <c r="O19" i="608" s="1"/>
  <c r="P19" i="608" s="1"/>
  <c r="DA10" i="7"/>
  <c r="DA7" i="7"/>
  <c r="DA4" i="7"/>
  <c r="H75" i="7"/>
  <c r="DA75" i="7" s="1"/>
  <c r="H141" i="7"/>
  <c r="DA141" i="7" s="1"/>
  <c r="DA466" i="7"/>
  <c r="F11" i="436"/>
  <c r="N18" i="401" l="1"/>
  <c r="O18" i="401" s="1"/>
  <c r="P18" i="401" s="1"/>
  <c r="N21" i="293"/>
  <c r="O21" i="293" s="1"/>
  <c r="P21" i="293" s="1"/>
  <c r="N20" i="604"/>
  <c r="O20" i="604" s="1"/>
  <c r="P20" i="604" s="1"/>
  <c r="N32" i="380"/>
  <c r="O32" i="380" s="1"/>
  <c r="P32" i="380" s="1"/>
  <c r="N26" i="432"/>
  <c r="O26" i="432" s="1"/>
  <c r="P26" i="432" s="1"/>
  <c r="N19" i="640"/>
  <c r="O19" i="640" s="1"/>
  <c r="P19" i="640" s="1"/>
  <c r="N21" i="366"/>
  <c r="O21" i="366" s="1"/>
  <c r="P21" i="366" s="1"/>
  <c r="N32" i="621"/>
  <c r="O32" i="621" s="1"/>
  <c r="P32" i="621" s="1"/>
  <c r="N18" i="650"/>
  <c r="N31" i="366"/>
  <c r="O31" i="366" s="1"/>
  <c r="P31" i="366" s="1"/>
  <c r="N18" i="649"/>
  <c r="O18" i="649" s="1"/>
  <c r="P18" i="649" s="1"/>
  <c r="M29" i="649" s="1"/>
  <c r="N29" i="649" s="1"/>
  <c r="N28" i="366"/>
  <c r="O28" i="366" s="1"/>
  <c r="P28" i="366" s="1"/>
  <c r="N18" i="640"/>
  <c r="S18" i="640" s="1"/>
  <c r="N23" i="608"/>
  <c r="O23" i="608" s="1"/>
  <c r="P23" i="608" s="1"/>
  <c r="N28" i="621"/>
  <c r="O28" i="621" s="1"/>
  <c r="P28" i="621" s="1"/>
  <c r="N20" i="608"/>
  <c r="O20" i="608" s="1"/>
  <c r="P20" i="608" s="1"/>
  <c r="N22" i="608"/>
  <c r="O22" i="608" s="1"/>
  <c r="P22" i="608" s="1"/>
  <c r="N31" i="618"/>
  <c r="O31" i="618" s="1"/>
  <c r="P31" i="618" s="1"/>
  <c r="N30" i="618"/>
  <c r="O30" i="618" s="1"/>
  <c r="P30" i="618" s="1"/>
  <c r="N30" i="621"/>
  <c r="O30" i="621" s="1"/>
  <c r="P30" i="621" s="1"/>
  <c r="N19" i="621"/>
  <c r="O19" i="621" s="1"/>
  <c r="P19" i="621" s="1"/>
  <c r="N19" i="78"/>
  <c r="O19" i="78" s="1"/>
  <c r="P19" i="78" s="1"/>
  <c r="N26" i="41"/>
  <c r="O26" i="41" s="1"/>
  <c r="P26" i="41" s="1"/>
  <c r="N19" i="588"/>
  <c r="O19" i="588" s="1"/>
  <c r="P19" i="588" s="1"/>
  <c r="N22" i="380"/>
  <c r="O22" i="380" s="1"/>
  <c r="P22" i="380" s="1"/>
  <c r="N19" i="380"/>
  <c r="O19" i="380" s="1"/>
  <c r="P19" i="380" s="1"/>
  <c r="N35" i="380"/>
  <c r="O35" i="380" s="1"/>
  <c r="P35" i="380" s="1"/>
  <c r="N19" i="239"/>
  <c r="O19" i="239" s="1"/>
  <c r="P19" i="239" s="1"/>
  <c r="N31" i="380"/>
  <c r="O31" i="380" s="1"/>
  <c r="P31" i="380" s="1"/>
  <c r="N27" i="41"/>
  <c r="O27" i="41" s="1"/>
  <c r="P27" i="41" s="1"/>
  <c r="N36" i="380"/>
  <c r="O36" i="380" s="1"/>
  <c r="P36" i="380" s="1"/>
  <c r="N29" i="83"/>
  <c r="O29" i="83" s="1"/>
  <c r="P29" i="83" s="1"/>
  <c r="N35" i="219"/>
  <c r="O35" i="219" s="1"/>
  <c r="P35" i="219" s="1"/>
  <c r="N19" i="83"/>
  <c r="O19" i="83" s="1"/>
  <c r="P19" i="83" s="1"/>
  <c r="N23" i="83"/>
  <c r="O23" i="83" s="1"/>
  <c r="P23" i="83" s="1"/>
  <c r="N25" i="589"/>
  <c r="O25" i="589" s="1"/>
  <c r="P25" i="589" s="1"/>
  <c r="N26" i="618"/>
  <c r="O26" i="618" s="1"/>
  <c r="P26" i="618" s="1"/>
  <c r="N22" i="634"/>
  <c r="O22" i="634" s="1"/>
  <c r="P22" i="634" s="1"/>
  <c r="N20" i="634"/>
  <c r="O20" i="634" s="1"/>
  <c r="P20" i="634" s="1"/>
  <c r="N18" i="634"/>
  <c r="O18" i="634" s="1"/>
  <c r="P18" i="634" s="1"/>
  <c r="N23" i="634"/>
  <c r="O23" i="634" s="1"/>
  <c r="P23" i="634" s="1"/>
  <c r="N21" i="634"/>
  <c r="O21" i="634" s="1"/>
  <c r="P21" i="634" s="1"/>
  <c r="N21" i="511"/>
  <c r="O21" i="511" s="1"/>
  <c r="P21" i="511" s="1"/>
  <c r="N29" i="139"/>
  <c r="O29" i="139" s="1"/>
  <c r="P29" i="139" s="1"/>
  <c r="N27" i="537"/>
  <c r="O27" i="537" s="1"/>
  <c r="P27" i="537" s="1"/>
  <c r="N28" i="51"/>
  <c r="O28" i="51" s="1"/>
  <c r="P28" i="51" s="1"/>
  <c r="N24" i="51"/>
  <c r="O24" i="51" s="1"/>
  <c r="P24" i="51" s="1"/>
  <c r="N19" i="614"/>
  <c r="O19" i="614" s="1"/>
  <c r="P19" i="614" s="1"/>
  <c r="N18" i="623"/>
  <c r="O18" i="623" s="1"/>
  <c r="P18" i="623" s="1"/>
  <c r="M32" i="623" s="1"/>
  <c r="N32" i="623" s="1"/>
  <c r="N18" i="624"/>
  <c r="O18" i="624" s="1"/>
  <c r="P18" i="624" s="1"/>
  <c r="M32" i="624" s="1"/>
  <c r="N32" i="624" s="1"/>
  <c r="N18" i="617"/>
  <c r="R18" i="617" s="1"/>
  <c r="N18" i="614"/>
  <c r="O18" i="614" s="1"/>
  <c r="P18" i="614" s="1"/>
  <c r="N21" i="124"/>
  <c r="O21" i="124" s="1"/>
  <c r="P21" i="124" s="1"/>
  <c r="N20" i="445"/>
  <c r="O20" i="445" s="1"/>
  <c r="P20" i="445" s="1"/>
  <c r="N20" i="614"/>
  <c r="O20" i="614" s="1"/>
  <c r="P20" i="614" s="1"/>
  <c r="N26" i="51"/>
  <c r="O26" i="51" s="1"/>
  <c r="P26" i="51" s="1"/>
  <c r="N19" i="340"/>
  <c r="O19" i="340" s="1"/>
  <c r="P19" i="340" s="1"/>
  <c r="N18" i="608"/>
  <c r="O18" i="608" s="1"/>
  <c r="P18" i="608" s="1"/>
  <c r="N20" i="551"/>
  <c r="O20" i="551" s="1"/>
  <c r="P20" i="551" s="1"/>
  <c r="N19" i="294"/>
  <c r="O19" i="294" s="1"/>
  <c r="P19" i="294" s="1"/>
  <c r="N19" i="216"/>
  <c r="O19" i="216" s="1"/>
  <c r="P19" i="216" s="1"/>
  <c r="N18" i="294"/>
  <c r="O18" i="294" s="1"/>
  <c r="P18" i="294" s="1"/>
  <c r="N19" i="499"/>
  <c r="O19" i="499" s="1"/>
  <c r="P19" i="499" s="1"/>
  <c r="N19" i="489"/>
  <c r="O19" i="489" s="1"/>
  <c r="P19" i="489" s="1"/>
  <c r="N19" i="215"/>
  <c r="O19" i="215" s="1"/>
  <c r="P19" i="215" s="1"/>
  <c r="N18" i="263"/>
  <c r="N19" i="549"/>
  <c r="O19" i="549" s="1"/>
  <c r="P19" i="549" s="1"/>
  <c r="N20" i="549"/>
  <c r="O20" i="549" s="1"/>
  <c r="P20" i="549" s="1"/>
  <c r="N19" i="574"/>
  <c r="O19" i="574" s="1"/>
  <c r="P19" i="574" s="1"/>
  <c r="N18" i="549"/>
  <c r="O18" i="549" s="1"/>
  <c r="P18" i="549" s="1"/>
  <c r="N19" i="546"/>
  <c r="O19" i="546" s="1"/>
  <c r="P19" i="546" s="1"/>
  <c r="N18" i="542"/>
  <c r="O18" i="542" s="1"/>
  <c r="P18" i="542" s="1"/>
  <c r="M31" i="542" s="1"/>
  <c r="N31" i="542" s="1"/>
  <c r="N18" i="525"/>
  <c r="O18" i="525" s="1"/>
  <c r="P18" i="525" s="1"/>
  <c r="M31" i="525" s="1"/>
  <c r="N20" i="511"/>
  <c r="O20" i="511" s="1"/>
  <c r="P20" i="511" s="1"/>
  <c r="N18" i="528"/>
  <c r="O18" i="528" s="1"/>
  <c r="P18" i="528" s="1"/>
  <c r="N19" i="512"/>
  <c r="O19" i="512" s="1"/>
  <c r="P19" i="512" s="1"/>
  <c r="N18" i="512"/>
  <c r="O18" i="512" s="1"/>
  <c r="P18" i="512" s="1"/>
  <c r="N18" i="501"/>
  <c r="O18" i="501" s="1"/>
  <c r="P18" i="501" s="1"/>
  <c r="M30" i="501" s="1"/>
  <c r="N30" i="501" s="1"/>
  <c r="N20" i="64"/>
  <c r="O20" i="64" s="1"/>
  <c r="P20" i="64" s="1"/>
  <c r="N18" i="483"/>
  <c r="O18" i="483" s="1"/>
  <c r="P18" i="483" s="1"/>
  <c r="N20" i="478"/>
  <c r="O20" i="478" s="1"/>
  <c r="P20" i="478" s="1"/>
  <c r="N21" i="478"/>
  <c r="O21" i="478" s="1"/>
  <c r="P21" i="478" s="1"/>
  <c r="N18" i="481"/>
  <c r="O18" i="481" s="1"/>
  <c r="P18" i="481" s="1"/>
  <c r="M36" i="481" s="1"/>
  <c r="N36" i="481" s="1"/>
  <c r="N20" i="290"/>
  <c r="O20" i="290" s="1"/>
  <c r="P20" i="290" s="1"/>
  <c r="N20" i="215"/>
  <c r="N18" i="453"/>
  <c r="O18" i="453" s="1"/>
  <c r="P18" i="453" s="1"/>
  <c r="M30" i="453" s="1"/>
  <c r="N30" i="453" s="1"/>
  <c r="N18" i="445"/>
  <c r="O18" i="445" s="1"/>
  <c r="P18" i="445" s="1"/>
  <c r="N19" i="274"/>
  <c r="O19" i="274" s="1"/>
  <c r="P19" i="274" s="1"/>
  <c r="N19" i="290"/>
  <c r="O19" i="290" s="1"/>
  <c r="P19" i="290" s="1"/>
  <c r="N19" i="445"/>
  <c r="O19" i="445" s="1"/>
  <c r="P19" i="445" s="1"/>
  <c r="R18" i="640" l="1"/>
  <c r="R18" i="649"/>
  <c r="O18" i="650"/>
  <c r="P18" i="650" s="1"/>
  <c r="M29" i="650" s="1"/>
  <c r="N29" i="650" s="1"/>
  <c r="S18" i="650"/>
  <c r="R18" i="650"/>
  <c r="S18" i="649"/>
  <c r="O18" i="640"/>
  <c r="P18" i="640" s="1"/>
  <c r="M29" i="640" s="1"/>
  <c r="N29" i="640" s="1"/>
  <c r="M32" i="614"/>
  <c r="O18" i="617"/>
  <c r="P18" i="617" s="1"/>
  <c r="M37" i="560"/>
  <c r="M29" i="483"/>
  <c r="R18" i="542"/>
  <c r="M31" i="512"/>
  <c r="N31" i="512" s="1"/>
  <c r="R18" i="445"/>
  <c r="H74" i="7"/>
  <c r="DA74" i="7" l="1"/>
  <c r="L34" i="436"/>
  <c r="L35" i="436" s="1"/>
  <c r="L36" i="436" l="1"/>
  <c r="L37" i="436" s="1"/>
  <c r="H18" i="330" l="1"/>
  <c r="I18" i="330"/>
  <c r="K18" i="330"/>
  <c r="L18" i="330" s="1"/>
  <c r="L43" i="330" s="1"/>
  <c r="K18" i="434" l="1"/>
  <c r="I18" i="434"/>
  <c r="H18" i="434"/>
  <c r="D18" i="434"/>
  <c r="F11" i="434"/>
  <c r="L18" i="434" l="1"/>
  <c r="L30" i="434" s="1"/>
  <c r="L31" i="434" l="1"/>
  <c r="L32" i="434" s="1"/>
  <c r="L33" i="434" l="1"/>
  <c r="L34" i="434" s="1"/>
  <c r="K18" i="433" l="1"/>
  <c r="L18" i="433" s="1"/>
  <c r="I18" i="433"/>
  <c r="H18" i="433"/>
  <c r="D18" i="433"/>
  <c r="F11" i="433"/>
  <c r="I18" i="432"/>
  <c r="H18" i="432"/>
  <c r="D18" i="432"/>
  <c r="F11" i="432"/>
  <c r="L32" i="433" l="1"/>
  <c r="L33" i="433" s="1"/>
  <c r="L34" i="433" s="1"/>
  <c r="L35" i="433" l="1"/>
  <c r="L36" i="433" s="1"/>
  <c r="K18" i="342" l="1"/>
  <c r="I18" i="342"/>
  <c r="H18" i="342"/>
  <c r="D18" i="342"/>
  <c r="L18" i="342" l="1"/>
  <c r="L38" i="342" s="1"/>
  <c r="L37" i="339" l="1"/>
  <c r="K23" i="139" l="1"/>
  <c r="K30" i="139"/>
  <c r="K28" i="139"/>
  <c r="K19" i="139"/>
  <c r="K18" i="139"/>
  <c r="K20" i="429" l="1"/>
  <c r="K19" i="429"/>
  <c r="K18" i="429"/>
  <c r="I20" i="429"/>
  <c r="H20" i="429"/>
  <c r="D20" i="429"/>
  <c r="I19" i="429"/>
  <c r="H19" i="429"/>
  <c r="D19" i="429"/>
  <c r="I18" i="429"/>
  <c r="H18" i="429"/>
  <c r="D18" i="429"/>
  <c r="F11" i="429"/>
  <c r="I18" i="428"/>
  <c r="H18" i="428"/>
  <c r="D18" i="428"/>
  <c r="F11" i="428"/>
  <c r="L18" i="429" l="1"/>
  <c r="L19" i="429"/>
  <c r="L20" i="429"/>
  <c r="L18" i="428"/>
  <c r="L30" i="428" s="1"/>
  <c r="L36" i="429" l="1"/>
  <c r="L31" i="428"/>
  <c r="L32" i="428" s="1"/>
  <c r="L37" i="429" l="1"/>
  <c r="L38" i="429" s="1"/>
  <c r="L33" i="428"/>
  <c r="L34" i="428" s="1"/>
  <c r="L39" i="429" l="1"/>
  <c r="L40" i="429" s="1"/>
  <c r="K18" i="427" l="1"/>
  <c r="I18" i="427"/>
  <c r="H18" i="427"/>
  <c r="D18" i="427"/>
  <c r="F11" i="427"/>
  <c r="L18" i="427" l="1"/>
  <c r="L31" i="427" s="1"/>
  <c r="L32" i="427" l="1"/>
  <c r="L33" i="427" s="1"/>
  <c r="L34" i="427" l="1"/>
  <c r="L35" i="427" s="1"/>
  <c r="K18" i="426" l="1"/>
  <c r="L18" i="426" s="1"/>
  <c r="I18" i="426"/>
  <c r="H18" i="426"/>
  <c r="D18" i="426"/>
  <c r="F11" i="426"/>
  <c r="L30" i="426" l="1"/>
  <c r="L31" i="426" l="1"/>
  <c r="L32" i="426" s="1"/>
  <c r="L33" i="426" l="1"/>
  <c r="L34" i="426" s="1"/>
  <c r="K18" i="424" l="1"/>
  <c r="I18" i="424"/>
  <c r="H18" i="424"/>
  <c r="D18" i="424"/>
  <c r="F11" i="424"/>
  <c r="L18" i="424" l="1"/>
  <c r="L31" i="424" l="1"/>
  <c r="L32" i="424" l="1"/>
  <c r="L33" i="424" s="1"/>
  <c r="L34" i="424" s="1"/>
  <c r="L35" i="424" s="1"/>
  <c r="K19" i="269" l="1"/>
  <c r="I19" i="269"/>
  <c r="H19" i="269"/>
  <c r="D19" i="269"/>
  <c r="L19" i="269" l="1"/>
  <c r="DA471" i="7" l="1"/>
  <c r="N34" i="219" s="1"/>
  <c r="O34" i="219" s="1"/>
  <c r="P34" i="219" s="1"/>
  <c r="DA472" i="7"/>
  <c r="N29" i="621" l="1"/>
  <c r="O29" i="621" s="1"/>
  <c r="P29" i="621" s="1"/>
  <c r="N29" i="366"/>
  <c r="O29" i="366" s="1"/>
  <c r="P29" i="366" s="1"/>
  <c r="N25" i="621"/>
  <c r="O25" i="621" s="1"/>
  <c r="P25" i="621" s="1"/>
  <c r="N28" i="618"/>
  <c r="O28" i="618" s="1"/>
  <c r="P28" i="618" s="1"/>
  <c r="N33" i="380"/>
  <c r="O33" i="380" s="1"/>
  <c r="P33" i="380" s="1"/>
  <c r="N18" i="543"/>
  <c r="O18" i="543" s="1"/>
  <c r="P18" i="543" s="1"/>
  <c r="N18" i="541"/>
  <c r="O18" i="541" s="1"/>
  <c r="P18" i="541" s="1"/>
  <c r="M31" i="541" l="1"/>
  <c r="N31" i="541" s="1"/>
  <c r="R20" i="422" l="1"/>
  <c r="K18" i="422"/>
  <c r="L18" i="422" s="1"/>
  <c r="L30" i="422" s="1"/>
  <c r="I18" i="422"/>
  <c r="H18" i="422"/>
  <c r="D18" i="422"/>
  <c r="F11" i="422"/>
  <c r="K18" i="421"/>
  <c r="I18" i="421"/>
  <c r="H18" i="421"/>
  <c r="D18" i="421"/>
  <c r="F11" i="421"/>
  <c r="L31" i="422" l="1"/>
  <c r="L32" i="422" s="1"/>
  <c r="L18" i="421"/>
  <c r="L28" i="421" s="1"/>
  <c r="L33" i="422" l="1"/>
  <c r="L34" i="422" s="1"/>
  <c r="L29" i="421"/>
  <c r="L30" i="421" s="1"/>
  <c r="L31" i="421" l="1"/>
  <c r="L32" i="421" s="1"/>
  <c r="L39" i="96" l="1"/>
  <c r="K19" i="416" l="1"/>
  <c r="I19" i="416"/>
  <c r="H19" i="416"/>
  <c r="D19" i="416"/>
  <c r="K18" i="416"/>
  <c r="L18" i="416" s="1"/>
  <c r="I18" i="416"/>
  <c r="H18" i="416"/>
  <c r="D18" i="416"/>
  <c r="F11" i="416"/>
  <c r="L19" i="416" l="1"/>
  <c r="L28" i="416" l="1"/>
  <c r="L29" i="416" l="1"/>
  <c r="L30" i="416" s="1"/>
  <c r="L31" i="416" l="1"/>
  <c r="L32" i="416" s="1"/>
  <c r="K18" i="414" l="1"/>
  <c r="I18" i="414"/>
  <c r="H18" i="414"/>
  <c r="D18" i="414"/>
  <c r="F11" i="414"/>
  <c r="K18" i="413"/>
  <c r="I18" i="413"/>
  <c r="H18" i="413"/>
  <c r="D18" i="413"/>
  <c r="F11" i="413"/>
  <c r="R20" i="412"/>
  <c r="K18" i="412"/>
  <c r="I18" i="412"/>
  <c r="H18" i="412"/>
  <c r="D18" i="412"/>
  <c r="F11" i="412"/>
  <c r="L18" i="414" l="1"/>
  <c r="L30" i="414" s="1"/>
  <c r="L18" i="413"/>
  <c r="L18" i="412"/>
  <c r="L31" i="414" l="1"/>
  <c r="L32" i="414" s="1"/>
  <c r="L30" i="413"/>
  <c r="L30" i="412"/>
  <c r="L33" i="414" l="1"/>
  <c r="L34" i="414" s="1"/>
  <c r="L31" i="413"/>
  <c r="L32" i="413" s="1"/>
  <c r="L31" i="412"/>
  <c r="L32" i="412" s="1"/>
  <c r="L33" i="413" l="1"/>
  <c r="L34" i="413" s="1"/>
  <c r="L33" i="412"/>
  <c r="L34" i="412" s="1"/>
  <c r="H356" i="7" l="1"/>
  <c r="DA356" i="7" s="1"/>
  <c r="H294" i="7" l="1"/>
  <c r="DA294" i="7" s="1"/>
  <c r="N19" i="204" s="1"/>
  <c r="O19" i="204" s="1"/>
  <c r="P19" i="204" s="1"/>
  <c r="H103" i="7"/>
  <c r="DA103" i="7" s="1"/>
  <c r="H102" i="7"/>
  <c r="DA102" i="7" s="1"/>
  <c r="H101" i="7"/>
  <c r="DA101" i="7" s="1"/>
  <c r="H100" i="7"/>
  <c r="DA100" i="7" s="1"/>
  <c r="H99" i="7"/>
  <c r="DA99" i="7" s="1"/>
  <c r="H98" i="7"/>
  <c r="DA98" i="7" s="1"/>
  <c r="H97" i="7"/>
  <c r="DA97" i="7" s="1"/>
  <c r="H96" i="7"/>
  <c r="DA96" i="7" s="1"/>
  <c r="H95" i="7"/>
  <c r="DA95" i="7" s="1"/>
  <c r="N18" i="618" l="1"/>
  <c r="R18" i="618" s="1"/>
  <c r="K18" i="409"/>
  <c r="I18" i="409"/>
  <c r="H18" i="409"/>
  <c r="D18" i="409"/>
  <c r="F11" i="409"/>
  <c r="O18" i="618" l="1"/>
  <c r="P18" i="618" s="1"/>
  <c r="L18" i="409"/>
  <c r="L30" i="409" s="1"/>
  <c r="L31" i="409" l="1"/>
  <c r="L32" i="409" s="1"/>
  <c r="L33" i="409" l="1"/>
  <c r="L34" i="409" s="1"/>
  <c r="D1048568" i="294" l="1"/>
  <c r="K23" i="182"/>
  <c r="I23" i="182"/>
  <c r="H23" i="182"/>
  <c r="D23" i="182"/>
  <c r="K21" i="182"/>
  <c r="I21" i="182"/>
  <c r="H21" i="182"/>
  <c r="K22" i="182"/>
  <c r="I22" i="182"/>
  <c r="H22" i="182"/>
  <c r="D21" i="182"/>
  <c r="D22" i="182"/>
  <c r="L23" i="182" l="1"/>
  <c r="L21" i="182"/>
  <c r="L22" i="182"/>
  <c r="I18" i="401" l="1"/>
  <c r="H18" i="401"/>
  <c r="D18" i="401"/>
  <c r="F11" i="401"/>
  <c r="DA144" i="400"/>
  <c r="I18" i="400"/>
  <c r="H18" i="400"/>
  <c r="D18" i="400"/>
  <c r="F11" i="400"/>
  <c r="F11" i="399"/>
  <c r="L18" i="401" l="1"/>
  <c r="L31" i="401" l="1"/>
  <c r="L39" i="399"/>
  <c r="L32" i="401" l="1"/>
  <c r="L33" i="401" s="1"/>
  <c r="L40" i="399"/>
  <c r="L41" i="399" s="1"/>
  <c r="L42" i="399" s="1"/>
  <c r="L43" i="399" s="1"/>
  <c r="L34" i="401" l="1"/>
  <c r="L35" i="401" s="1"/>
  <c r="DA142" i="396" l="1"/>
  <c r="K18" i="396"/>
  <c r="I18" i="396"/>
  <c r="H18" i="396"/>
  <c r="D18" i="396"/>
  <c r="F11" i="396"/>
  <c r="L18" i="396" l="1"/>
  <c r="L31" i="396" l="1"/>
  <c r="L32" i="396" s="1"/>
  <c r="L33" i="396" s="1"/>
  <c r="L34" i="396" l="1"/>
  <c r="L35" i="396" s="1"/>
  <c r="I18" i="391" l="1"/>
  <c r="H18" i="391"/>
  <c r="D18" i="391"/>
  <c r="F11" i="391"/>
  <c r="L18" i="391" l="1"/>
  <c r="K19" i="209" l="1"/>
  <c r="I19" i="209"/>
  <c r="H19" i="209"/>
  <c r="D19" i="209"/>
  <c r="L19" i="209" l="1"/>
  <c r="I18" i="388" l="1"/>
  <c r="H18" i="388"/>
  <c r="D18" i="388"/>
  <c r="F11" i="388"/>
  <c r="F11" i="387"/>
  <c r="K18" i="370" l="1"/>
  <c r="I18" i="370"/>
  <c r="H18" i="370"/>
  <c r="D18" i="370"/>
  <c r="L18" i="370" l="1"/>
  <c r="K18" i="380" l="1"/>
  <c r="L18" i="380" s="1"/>
  <c r="L44" i="380" s="1"/>
  <c r="I18" i="380"/>
  <c r="H18" i="380"/>
  <c r="F11" i="380"/>
  <c r="L45" i="380" l="1"/>
  <c r="L46" i="380" s="1"/>
  <c r="L47" i="380" s="1"/>
  <c r="L48" i="380" s="1"/>
  <c r="I23" i="139" l="1"/>
  <c r="H23" i="139"/>
  <c r="D23" i="139"/>
  <c r="L23" i="139" l="1"/>
  <c r="K18" i="378" l="1"/>
  <c r="I18" i="378"/>
  <c r="H18" i="378"/>
  <c r="D18" i="378"/>
  <c r="F11" i="378"/>
  <c r="L18" i="378" l="1"/>
  <c r="L33" i="378" l="1"/>
  <c r="L34" i="378" l="1"/>
  <c r="L35" i="378" s="1"/>
  <c r="L36" i="378" l="1"/>
  <c r="L37" i="378" s="1"/>
  <c r="K18" i="92" l="1"/>
  <c r="H121" i="7" l="1"/>
  <c r="DA121" i="7" s="1"/>
  <c r="K20" i="235" l="1"/>
  <c r="I20" i="235"/>
  <c r="H20" i="235"/>
  <c r="D20" i="235"/>
  <c r="K19" i="235"/>
  <c r="I19" i="235"/>
  <c r="H19" i="235"/>
  <c r="D19" i="235"/>
  <c r="L20" i="235" l="1"/>
  <c r="L19" i="235"/>
  <c r="I28" i="139" l="1"/>
  <c r="H28" i="139"/>
  <c r="D28" i="139"/>
  <c r="L28" i="139" l="1"/>
  <c r="Q37" i="376" l="1"/>
  <c r="Q32" i="376"/>
  <c r="K18" i="376"/>
  <c r="I18" i="376"/>
  <c r="H18" i="376"/>
  <c r="D18" i="376"/>
  <c r="F11" i="376"/>
  <c r="L18" i="376" l="1"/>
  <c r="L32" i="376" s="1"/>
  <c r="L33" i="376" l="1"/>
  <c r="L34" i="376" s="1"/>
  <c r="L35" i="376" l="1"/>
  <c r="L36" i="376" s="1"/>
  <c r="DA205" i="7" l="1"/>
  <c r="DA215" i="7"/>
  <c r="DA325" i="7"/>
  <c r="DA199" i="7"/>
  <c r="N18" i="452" l="1"/>
  <c r="O18" i="452" s="1"/>
  <c r="P18" i="452" s="1"/>
  <c r="M30" i="452" s="1"/>
  <c r="N30" i="452" s="1"/>
  <c r="C18" i="329"/>
  <c r="CS284" i="7" l="1"/>
  <c r="CS282" i="7"/>
  <c r="CS280" i="7"/>
  <c r="CS274" i="7"/>
  <c r="CS262" i="7"/>
  <c r="CS260" i="7"/>
  <c r="CS257" i="7"/>
  <c r="CS246" i="7"/>
  <c r="CS239" i="7"/>
  <c r="CS235" i="7"/>
  <c r="CS231" i="7"/>
  <c r="CS225" i="7"/>
  <c r="CS193" i="7"/>
  <c r="CS190" i="7"/>
  <c r="CS187" i="7"/>
  <c r="CS173" i="7"/>
  <c r="CS162" i="7"/>
  <c r="CS160" i="7"/>
  <c r="CS154" i="7"/>
  <c r="CS152" i="7"/>
  <c r="CS151" i="7"/>
  <c r="CS150" i="7"/>
  <c r="CS145" i="7"/>
  <c r="CS139" i="7"/>
  <c r="CS109" i="7"/>
  <c r="CS104" i="7"/>
  <c r="CS100" i="7"/>
  <c r="CS92" i="7"/>
  <c r="CS90" i="7"/>
  <c r="CS89" i="7"/>
  <c r="CS46" i="7"/>
  <c r="CS44" i="7"/>
  <c r="CS42" i="7"/>
  <c r="H361" i="7"/>
  <c r="DA361" i="7" s="1"/>
  <c r="N23" i="537" s="1"/>
  <c r="O23" i="537" s="1"/>
  <c r="P23" i="537" s="1"/>
  <c r="H144" i="7"/>
  <c r="DA144" i="7" s="1"/>
  <c r="H161" i="7"/>
  <c r="DA161" i="7" s="1"/>
  <c r="N20" i="217" l="1"/>
  <c r="O20" i="217" s="1"/>
  <c r="P20" i="217" s="1"/>
  <c r="N18" i="489"/>
  <c r="O18" i="489" s="1"/>
  <c r="P18" i="489" s="1"/>
  <c r="M30" i="489" s="1"/>
  <c r="N30" i="489" s="1"/>
  <c r="F11" i="370"/>
  <c r="K18" i="221"/>
  <c r="I18" i="221"/>
  <c r="H18" i="221"/>
  <c r="L18" i="221" l="1"/>
  <c r="L36" i="370" l="1"/>
  <c r="L37" i="370" s="1"/>
  <c r="L38" i="370" s="1"/>
  <c r="L39" i="370" l="1"/>
  <c r="L40" i="370" s="1"/>
  <c r="Q46" i="366" l="1"/>
  <c r="C18" i="366"/>
  <c r="D18" i="366" s="1"/>
  <c r="K18" i="366" l="1"/>
  <c r="L18" i="366" s="1"/>
  <c r="L39" i="366" s="1"/>
  <c r="H18" i="366"/>
  <c r="I18" i="366"/>
  <c r="L41" i="366" l="1"/>
  <c r="L42" i="366" s="1"/>
  <c r="L43" i="366" s="1"/>
  <c r="J319" i="7" l="1"/>
  <c r="H319" i="7"/>
  <c r="DA319" i="7" s="1"/>
  <c r="L21" i="334" l="1"/>
  <c r="L20" i="334"/>
  <c r="K19" i="70" l="1"/>
  <c r="L19" i="70" s="1"/>
  <c r="I19" i="70"/>
  <c r="H19" i="70"/>
  <c r="D19" i="70"/>
  <c r="R18" i="346" l="1"/>
  <c r="F11" i="346"/>
  <c r="L30" i="346" l="1"/>
  <c r="L31" i="346" l="1"/>
  <c r="L32" i="346" s="1"/>
  <c r="L33" i="346" l="1"/>
  <c r="L34" i="346" s="1"/>
  <c r="K18" i="64"/>
  <c r="L18" i="64" s="1"/>
  <c r="I18" i="64"/>
  <c r="H18" i="64"/>
  <c r="D18" i="64"/>
  <c r="F11" i="342" l="1"/>
  <c r="L39" i="342" l="1"/>
  <c r="L40" i="342" s="1"/>
  <c r="L41" i="342" l="1"/>
  <c r="L42" i="342" s="1"/>
  <c r="K18" i="332" l="1"/>
  <c r="L18" i="332" s="1"/>
  <c r="I18" i="332"/>
  <c r="H18" i="332"/>
  <c r="K21" i="108"/>
  <c r="L21" i="108" s="1"/>
  <c r="I21" i="108"/>
  <c r="H21" i="108"/>
  <c r="K20" i="108"/>
  <c r="L20" i="108" s="1"/>
  <c r="I20" i="108"/>
  <c r="H20" i="108"/>
  <c r="K19" i="108"/>
  <c r="L19" i="108" s="1"/>
  <c r="I19" i="108"/>
  <c r="H19" i="108"/>
  <c r="K18" i="108"/>
  <c r="L18" i="108" s="1"/>
  <c r="I18" i="108"/>
  <c r="H18" i="108"/>
  <c r="D18" i="332"/>
  <c r="D21" i="108"/>
  <c r="D20" i="108"/>
  <c r="D19" i="108"/>
  <c r="I24" i="311" l="1"/>
  <c r="H24" i="311"/>
  <c r="D24" i="311"/>
  <c r="K20" i="182" l="1"/>
  <c r="I20" i="182"/>
  <c r="H20" i="182"/>
  <c r="D20" i="182"/>
  <c r="K19" i="182"/>
  <c r="I19" i="182"/>
  <c r="H19" i="182"/>
  <c r="D19" i="182"/>
  <c r="H6" i="7"/>
  <c r="DA6" i="7" s="1"/>
  <c r="H495" i="7"/>
  <c r="DA495" i="7" s="1"/>
  <c r="H496" i="7"/>
  <c r="DA496" i="7" s="1"/>
  <c r="L20" i="182" l="1"/>
  <c r="L19" i="182"/>
  <c r="K18" i="340" l="1"/>
  <c r="I18" i="340"/>
  <c r="H18" i="340"/>
  <c r="D18" i="340"/>
  <c r="F11" i="340"/>
  <c r="O15" i="339"/>
  <c r="F11" i="339"/>
  <c r="K18" i="338"/>
  <c r="I18" i="338"/>
  <c r="H18" i="338"/>
  <c r="O15" i="338"/>
  <c r="F11" i="338"/>
  <c r="L18" i="340" l="1"/>
  <c r="L18" i="338"/>
  <c r="L30" i="338" s="1"/>
  <c r="L30" i="340" l="1"/>
  <c r="L31" i="338"/>
  <c r="L32" i="338" s="1"/>
  <c r="L31" i="340" l="1"/>
  <c r="L32" i="340" s="1"/>
  <c r="L33" i="340" s="1"/>
  <c r="L34" i="340" s="1"/>
  <c r="L38" i="339"/>
  <c r="L39" i="339" s="1"/>
  <c r="L33" i="338"/>
  <c r="L34" i="338" s="1"/>
  <c r="L40" i="339" l="1"/>
  <c r="L41" i="339" s="1"/>
  <c r="M34" i="334" l="1"/>
  <c r="L19" i="334"/>
  <c r="L18" i="334"/>
  <c r="F11" i="334"/>
  <c r="L34" i="334" l="1"/>
  <c r="L36" i="334" s="1"/>
  <c r="N34" i="334" l="1"/>
  <c r="L37" i="334"/>
  <c r="L38" i="334" s="1"/>
  <c r="F11" i="332" l="1"/>
  <c r="K18" i="331"/>
  <c r="I18" i="331"/>
  <c r="H18" i="331"/>
  <c r="D18" i="331"/>
  <c r="F11" i="331"/>
  <c r="L18" i="331" l="1"/>
  <c r="L31" i="331" s="1"/>
  <c r="L30" i="332" l="1"/>
  <c r="L31" i="332" s="1"/>
  <c r="L32" i="332" s="1"/>
  <c r="L32" i="331"/>
  <c r="L33" i="331" s="1"/>
  <c r="L33" i="332" l="1"/>
  <c r="L34" i="332" s="1"/>
  <c r="L34" i="331"/>
  <c r="L35" i="331" s="1"/>
  <c r="K19" i="174" l="1"/>
  <c r="L19" i="174" s="1"/>
  <c r="I19" i="174"/>
  <c r="H19" i="174"/>
  <c r="K18" i="174"/>
  <c r="L18" i="174" s="1"/>
  <c r="I18" i="174"/>
  <c r="H18" i="174"/>
  <c r="F11" i="330" l="1"/>
  <c r="Q39" i="329"/>
  <c r="I18" i="329" l="1"/>
  <c r="H18" i="329"/>
  <c r="D18" i="329"/>
  <c r="K18" i="329"/>
  <c r="L18" i="329" s="1"/>
  <c r="L34" i="329" s="1"/>
  <c r="I19" i="139" l="1"/>
  <c r="H19" i="139"/>
  <c r="D19" i="139"/>
  <c r="L44" i="330" l="1"/>
  <c r="L45" i="330" s="1"/>
  <c r="L35" i="329"/>
  <c r="L36" i="329" s="1"/>
  <c r="L19" i="139"/>
  <c r="L46" i="330" l="1"/>
  <c r="L47" i="330" s="1"/>
  <c r="L37" i="329"/>
  <c r="L38" i="329" s="1"/>
  <c r="D18" i="277" l="1"/>
  <c r="F11" i="230" l="1"/>
  <c r="H293" i="7" l="1"/>
  <c r="DA293" i="7" s="1"/>
  <c r="K18" i="321" l="1"/>
  <c r="I18" i="321"/>
  <c r="H18" i="321"/>
  <c r="D18" i="321"/>
  <c r="F11" i="321"/>
  <c r="L18" i="321" l="1"/>
  <c r="L28" i="321" s="1"/>
  <c r="L29" i="321" l="1"/>
  <c r="L30" i="321" s="1"/>
  <c r="L31" i="321" l="1"/>
  <c r="L32" i="321" s="1"/>
  <c r="H156" i="7" l="1"/>
  <c r="DA156" i="7" s="1"/>
  <c r="H155" i="7"/>
  <c r="DA155" i="7" s="1"/>
  <c r="H131" i="7"/>
  <c r="H31" i="7"/>
  <c r="DA31" i="7" s="1"/>
  <c r="N20" i="380" l="1"/>
  <c r="O20" i="380" s="1"/>
  <c r="P20" i="380" s="1"/>
  <c r="N20" i="83"/>
  <c r="O20" i="83" s="1"/>
  <c r="P20" i="83" s="1"/>
  <c r="N18" i="478"/>
  <c r="O18" i="478" s="1"/>
  <c r="P18" i="478" s="1"/>
  <c r="N18" i="477"/>
  <c r="O18" i="477" s="1"/>
  <c r="P18" i="477" s="1"/>
  <c r="H132" i="7"/>
  <c r="DA131" i="7"/>
  <c r="M34" i="320"/>
  <c r="L34" i="320"/>
  <c r="H133" i="7" l="1"/>
  <c r="DA133" i="7" s="1"/>
  <c r="DA132" i="7"/>
  <c r="L35" i="320"/>
  <c r="L36" i="320" s="1"/>
  <c r="N34" i="320"/>
  <c r="L37" i="320" l="1"/>
  <c r="L38" i="320" s="1"/>
  <c r="F11" i="52" l="1"/>
  <c r="K18" i="314" l="1"/>
  <c r="I18" i="314"/>
  <c r="H18" i="314"/>
  <c r="D18" i="314"/>
  <c r="F11" i="314"/>
  <c r="L18" i="314" l="1"/>
  <c r="L31" i="314" s="1"/>
  <c r="L32" i="314" l="1"/>
  <c r="L33" i="314" s="1"/>
  <c r="L34" i="314" l="1"/>
  <c r="L35" i="314" s="1"/>
  <c r="N19" i="235" l="1"/>
  <c r="O19" i="235" s="1"/>
  <c r="P19" i="235" s="1"/>
  <c r="N18" i="416" l="1"/>
  <c r="O18" i="416" s="1"/>
  <c r="P18" i="416" s="1"/>
  <c r="N18" i="414"/>
  <c r="O18" i="414" s="1"/>
  <c r="P18" i="414" s="1"/>
  <c r="M30" i="414" s="1"/>
  <c r="N30" i="414" s="1"/>
  <c r="N18" i="412"/>
  <c r="K18" i="311"/>
  <c r="N18" i="311"/>
  <c r="I18" i="311"/>
  <c r="H18" i="311"/>
  <c r="D18" i="311"/>
  <c r="F11" i="311"/>
  <c r="S18" i="412" l="1"/>
  <c r="R18" i="412"/>
  <c r="O18" i="412"/>
  <c r="P18" i="412" s="1"/>
  <c r="M30" i="412" s="1"/>
  <c r="N30" i="412" s="1"/>
  <c r="O18" i="311"/>
  <c r="P18" i="311" s="1"/>
  <c r="M31" i="311" s="1"/>
  <c r="L18" i="311"/>
  <c r="L31" i="311" s="1"/>
  <c r="L32" i="311" s="1"/>
  <c r="L33" i="311" s="1"/>
  <c r="N31" i="311" l="1"/>
  <c r="L34" i="311"/>
  <c r="L35" i="311" s="1"/>
  <c r="H147" i="7" l="1"/>
  <c r="DA147" i="7" s="1"/>
  <c r="H504" i="7"/>
  <c r="DA504" i="7" s="1"/>
  <c r="H304" i="7"/>
  <c r="DA304" i="7" s="1"/>
  <c r="N19" i="434" s="1"/>
  <c r="O19" i="434" s="1"/>
  <c r="P19" i="434" s="1"/>
  <c r="H127" i="7"/>
  <c r="DA127" i="7" s="1"/>
  <c r="H126" i="7"/>
  <c r="DA126" i="7" s="1"/>
  <c r="H125" i="7"/>
  <c r="DA125" i="7" s="1"/>
  <c r="H502" i="7"/>
  <c r="H455" i="7"/>
  <c r="DA455" i="7" s="1"/>
  <c r="H447" i="7"/>
  <c r="DA447" i="7" s="1"/>
  <c r="H366" i="7"/>
  <c r="DA366" i="7" s="1"/>
  <c r="H364" i="7"/>
  <c r="H360" i="7"/>
  <c r="H358" i="7"/>
  <c r="DA358" i="7" s="1"/>
  <c r="H353" i="7"/>
  <c r="DA353" i="7" s="1"/>
  <c r="N33" i="219" s="1"/>
  <c r="O33" i="219" s="1"/>
  <c r="P33" i="219" s="1"/>
  <c r="H349" i="7"/>
  <c r="H140" i="7"/>
  <c r="DA140" i="7" s="1"/>
  <c r="H139" i="7"/>
  <c r="DA139" i="7" s="1"/>
  <c r="H138" i="7"/>
  <c r="H500" i="7"/>
  <c r="H117" i="7"/>
  <c r="DA117" i="7" s="1"/>
  <c r="N19" i="537" s="1"/>
  <c r="O19" i="537" s="1"/>
  <c r="P19" i="537" s="1"/>
  <c r="H115" i="7"/>
  <c r="DA115" i="7" s="1"/>
  <c r="H114" i="7"/>
  <c r="DA114" i="7" s="1"/>
  <c r="H113" i="7"/>
  <c r="H203" i="7"/>
  <c r="DA203" i="7" s="1"/>
  <c r="H256" i="7"/>
  <c r="DA256" i="7" s="1"/>
  <c r="H252" i="7"/>
  <c r="DA252" i="7" s="1"/>
  <c r="N18" i="534" s="1"/>
  <c r="O18" i="534" s="1"/>
  <c r="P18" i="534" s="1"/>
  <c r="M30" i="534" s="1"/>
  <c r="N30" i="534" s="1"/>
  <c r="H251" i="7"/>
  <c r="DA251" i="7" s="1"/>
  <c r="H247" i="7"/>
  <c r="H246" i="7"/>
  <c r="DA246" i="7" s="1"/>
  <c r="N20" i="90" s="1"/>
  <c r="O20" i="90" s="1"/>
  <c r="P20" i="90" s="1"/>
  <c r="H208" i="7"/>
  <c r="DA208" i="7" s="1"/>
  <c r="H229" i="7"/>
  <c r="DA229" i="7" s="1"/>
  <c r="H228" i="7"/>
  <c r="DA228" i="7" s="1"/>
  <c r="H227" i="7"/>
  <c r="DA227" i="7" s="1"/>
  <c r="H226" i="7"/>
  <c r="DA226" i="7" s="1"/>
  <c r="H225" i="7"/>
  <c r="DA225" i="7" s="1"/>
  <c r="N30" i="617" s="1"/>
  <c r="O30" i="617" s="1"/>
  <c r="P30" i="617" s="1"/>
  <c r="H355" i="7"/>
  <c r="H154" i="7"/>
  <c r="DA154" i="7" s="1"/>
  <c r="N22" i="83" s="1"/>
  <c r="O22" i="83" s="1"/>
  <c r="P22" i="83" s="1"/>
  <c r="H280" i="7"/>
  <c r="DA280" i="7" s="1"/>
  <c r="H351" i="7"/>
  <c r="DA351" i="7" s="1"/>
  <c r="H418" i="7"/>
  <c r="DA418" i="7" s="1"/>
  <c r="H416" i="7"/>
  <c r="DA416" i="7" s="1"/>
  <c r="H253" i="7"/>
  <c r="DA253" i="7" s="1"/>
  <c r="H400" i="7"/>
  <c r="DA400" i="7" s="1"/>
  <c r="H382" i="7"/>
  <c r="DA382" i="7" s="1"/>
  <c r="H451" i="7"/>
  <c r="DA451" i="7" s="1"/>
  <c r="H450" i="7"/>
  <c r="DA450" i="7" s="1"/>
  <c r="H449" i="7"/>
  <c r="DA449" i="7" s="1"/>
  <c r="H150" i="7"/>
  <c r="H284" i="7"/>
  <c r="DA284" i="7" s="1"/>
  <c r="H120" i="7"/>
  <c r="DA120" i="7" s="1"/>
  <c r="H464" i="7"/>
  <c r="DA464" i="7" s="1"/>
  <c r="H465" i="7"/>
  <c r="DA465" i="7" s="1"/>
  <c r="H461" i="7"/>
  <c r="DA461" i="7" s="1"/>
  <c r="H289" i="7"/>
  <c r="DA289" i="7" s="1"/>
  <c r="H282" i="7"/>
  <c r="H438" i="7"/>
  <c r="DA438" i="7" s="1"/>
  <c r="H444" i="7"/>
  <c r="DA444" i="7" s="1"/>
  <c r="H439" i="7"/>
  <c r="DA439" i="7" s="1"/>
  <c r="H236" i="7"/>
  <c r="H235" i="7"/>
  <c r="DA235" i="7" s="1"/>
  <c r="N24" i="432" s="1"/>
  <c r="O24" i="432" s="1"/>
  <c r="P24" i="432" s="1"/>
  <c r="H232" i="7"/>
  <c r="H231" i="7"/>
  <c r="H323" i="7"/>
  <c r="DA323" i="7" s="1"/>
  <c r="H277" i="7"/>
  <c r="DA277" i="7" s="1"/>
  <c r="H270" i="7"/>
  <c r="DA270" i="7" s="1"/>
  <c r="H269" i="7"/>
  <c r="DA196" i="7"/>
  <c r="H90" i="7"/>
  <c r="DA90" i="7" s="1"/>
  <c r="DA487" i="7"/>
  <c r="H494" i="7"/>
  <c r="DA477" i="7"/>
  <c r="N18" i="130"/>
  <c r="N27" i="380" l="1"/>
  <c r="O27" i="380" s="1"/>
  <c r="P27" i="380" s="1"/>
  <c r="N23" i="621"/>
  <c r="O23" i="621" s="1"/>
  <c r="P23" i="621" s="1"/>
  <c r="N21" i="83"/>
  <c r="O21" i="83" s="1"/>
  <c r="P21" i="83" s="1"/>
  <c r="N20" i="81"/>
  <c r="O20" i="81" s="1"/>
  <c r="P20" i="81" s="1"/>
  <c r="N28" i="41"/>
  <c r="O28" i="41" s="1"/>
  <c r="P28" i="41" s="1"/>
  <c r="N32" i="83"/>
  <c r="O32" i="83" s="1"/>
  <c r="P32" i="83" s="1"/>
  <c r="N34" i="380"/>
  <c r="O34" i="380" s="1"/>
  <c r="P34" i="380" s="1"/>
  <c r="N30" i="380"/>
  <c r="O30" i="380" s="1"/>
  <c r="P30" i="380" s="1"/>
  <c r="N31" i="83"/>
  <c r="O31" i="83" s="1"/>
  <c r="P31" i="83" s="1"/>
  <c r="N20" i="204"/>
  <c r="O20" i="204" s="1"/>
  <c r="P20" i="204" s="1"/>
  <c r="N23" i="619"/>
  <c r="O23" i="619" s="1"/>
  <c r="P23" i="619" s="1"/>
  <c r="N19" i="51"/>
  <c r="O19" i="51" s="1"/>
  <c r="P19" i="51" s="1"/>
  <c r="N21" i="81"/>
  <c r="O21" i="81" s="1"/>
  <c r="P21" i="81" s="1"/>
  <c r="N18" i="633"/>
  <c r="O18" i="633" s="1"/>
  <c r="P18" i="633" s="1"/>
  <c r="M30" i="633" s="1"/>
  <c r="N18" i="537"/>
  <c r="O18" i="537" s="1"/>
  <c r="P18" i="537" s="1"/>
  <c r="N27" i="51"/>
  <c r="O27" i="51" s="1"/>
  <c r="P27" i="51" s="1"/>
  <c r="N18" i="546"/>
  <c r="O18" i="546" s="1"/>
  <c r="P18" i="546" s="1"/>
  <c r="M30" i="546" s="1"/>
  <c r="N30" i="546" s="1"/>
  <c r="DA364" i="7"/>
  <c r="H365" i="7"/>
  <c r="DA365" i="7" s="1"/>
  <c r="N27" i="139"/>
  <c r="O27" i="139" s="1"/>
  <c r="P27" i="139" s="1"/>
  <c r="N18" i="433"/>
  <c r="O18" i="433" s="1"/>
  <c r="P18" i="433" s="1"/>
  <c r="M32" i="433" s="1"/>
  <c r="N18" i="434"/>
  <c r="O18" i="434" s="1"/>
  <c r="P18" i="434" s="1"/>
  <c r="M30" i="434" s="1"/>
  <c r="N30" i="434" s="1"/>
  <c r="DA8" i="7"/>
  <c r="DA9" i="7"/>
  <c r="H233" i="7"/>
  <c r="DA233" i="7" s="1"/>
  <c r="DA232" i="7"/>
  <c r="DA355" i="7"/>
  <c r="H248" i="7"/>
  <c r="DA247" i="7"/>
  <c r="DA269" i="7"/>
  <c r="DA500" i="7"/>
  <c r="DA349" i="7"/>
  <c r="DA494" i="7"/>
  <c r="DA236" i="7"/>
  <c r="DA150" i="7"/>
  <c r="DA138" i="7"/>
  <c r="DA282" i="7"/>
  <c r="DA502" i="7"/>
  <c r="DA231" i="7"/>
  <c r="N22" i="621" s="1"/>
  <c r="O22" i="621" s="1"/>
  <c r="P22" i="621" s="1"/>
  <c r="DA360" i="7"/>
  <c r="DA113" i="7"/>
  <c r="H195" i="7"/>
  <c r="DA195" i="7" s="1"/>
  <c r="DA193" i="7"/>
  <c r="N18" i="428"/>
  <c r="O18" i="428" s="1"/>
  <c r="P18" i="428" s="1"/>
  <c r="M30" i="428" s="1"/>
  <c r="N30" i="428" s="1"/>
  <c r="N19" i="429"/>
  <c r="O19" i="429" s="1"/>
  <c r="P19" i="429" s="1"/>
  <c r="N18" i="429"/>
  <c r="O18" i="429" s="1"/>
  <c r="P18" i="429" s="1"/>
  <c r="N20" i="429"/>
  <c r="O20" i="429" s="1"/>
  <c r="P20" i="429" s="1"/>
  <c r="N18" i="427"/>
  <c r="O18" i="427" s="1"/>
  <c r="P18" i="427" s="1"/>
  <c r="N22" i="182"/>
  <c r="O22" i="182" s="1"/>
  <c r="P22" i="182" s="1"/>
  <c r="N18" i="413"/>
  <c r="O18" i="413" s="1"/>
  <c r="P18" i="413" s="1"/>
  <c r="N18" i="421"/>
  <c r="O18" i="421" s="1"/>
  <c r="P18" i="421" s="1"/>
  <c r="M28" i="421" s="1"/>
  <c r="N28" i="421" s="1"/>
  <c r="N18" i="422"/>
  <c r="N19" i="269"/>
  <c r="O19" i="269" s="1"/>
  <c r="P19" i="269" s="1"/>
  <c r="N21" i="182"/>
  <c r="O21" i="182" s="1"/>
  <c r="P21" i="182" s="1"/>
  <c r="N23" i="182"/>
  <c r="O23" i="182" s="1"/>
  <c r="P23" i="182" s="1"/>
  <c r="M31" i="396"/>
  <c r="N31" i="396" s="1"/>
  <c r="N19" i="209"/>
  <c r="O19" i="209" s="1"/>
  <c r="P19" i="209" s="1"/>
  <c r="N18" i="378"/>
  <c r="O18" i="378" s="1"/>
  <c r="P18" i="378" s="1"/>
  <c r="M33" i="378" s="1"/>
  <c r="N33" i="378" s="1"/>
  <c r="N18" i="221"/>
  <c r="O18" i="221" s="1"/>
  <c r="P18" i="221" s="1"/>
  <c r="M27" i="221" s="1"/>
  <c r="N18" i="376"/>
  <c r="O18" i="376" s="1"/>
  <c r="P18" i="376" s="1"/>
  <c r="M32" i="376" s="1"/>
  <c r="N32" i="376" s="1"/>
  <c r="N19" i="70"/>
  <c r="O19" i="70" s="1"/>
  <c r="P19" i="70" s="1"/>
  <c r="N18" i="321"/>
  <c r="O18" i="321" s="1"/>
  <c r="P18" i="321" s="1"/>
  <c r="N20" i="174"/>
  <c r="H213" i="7"/>
  <c r="DA213" i="7" s="1"/>
  <c r="H283" i="7"/>
  <c r="H197" i="7"/>
  <c r="H237" i="7"/>
  <c r="DA237" i="7" s="1"/>
  <c r="H204" i="7"/>
  <c r="DA204" i="7" s="1"/>
  <c r="H200" i="7"/>
  <c r="H201" i="7"/>
  <c r="DA201" i="7" s="1"/>
  <c r="H206" i="7"/>
  <c r="DA206" i="7" s="1"/>
  <c r="H202" i="7"/>
  <c r="DA202" i="7" s="1"/>
  <c r="H207" i="7"/>
  <c r="DA207" i="7" s="1"/>
  <c r="N23" i="618" l="1"/>
  <c r="O23" i="618" s="1"/>
  <c r="P23" i="618" s="1"/>
  <c r="N22" i="537"/>
  <c r="O22" i="537" s="1"/>
  <c r="P22" i="537" s="1"/>
  <c r="N20" i="285"/>
  <c r="O20" i="285" s="1"/>
  <c r="P20" i="285" s="1"/>
  <c r="N18" i="621"/>
  <c r="R18" i="621" s="1"/>
  <c r="N24" i="380"/>
  <c r="O24" i="380" s="1"/>
  <c r="P24" i="380" s="1"/>
  <c r="N24" i="83"/>
  <c r="O24" i="83" s="1"/>
  <c r="P24" i="83" s="1"/>
  <c r="N21" i="432"/>
  <c r="O21" i="432" s="1"/>
  <c r="P21" i="432" s="1"/>
  <c r="N20" i="590"/>
  <c r="O20" i="590" s="1"/>
  <c r="P20" i="590" s="1"/>
  <c r="N19" i="131"/>
  <c r="O19" i="131" s="1"/>
  <c r="P19" i="131" s="1"/>
  <c r="N30" i="83"/>
  <c r="O30" i="83" s="1"/>
  <c r="P30" i="83" s="1"/>
  <c r="N26" i="380"/>
  <c r="O26" i="380" s="1"/>
  <c r="P26" i="380" s="1"/>
  <c r="N26" i="83"/>
  <c r="O26" i="83" s="1"/>
  <c r="P26" i="83" s="1"/>
  <c r="N20" i="293"/>
  <c r="O20" i="293" s="1"/>
  <c r="P20" i="293" s="1"/>
  <c r="N18" i="604"/>
  <c r="O18" i="604" s="1"/>
  <c r="P18" i="604" s="1"/>
  <c r="N21" i="97"/>
  <c r="O21" i="97" s="1"/>
  <c r="P21" i="97" s="1"/>
  <c r="N19" i="97"/>
  <c r="O19" i="97" s="1"/>
  <c r="P19" i="97" s="1"/>
  <c r="N20" i="97"/>
  <c r="O20" i="97" s="1"/>
  <c r="P20" i="97" s="1"/>
  <c r="N20" i="67"/>
  <c r="O20" i="67" s="1"/>
  <c r="P20" i="67" s="1"/>
  <c r="N25" i="51"/>
  <c r="O25" i="51" s="1"/>
  <c r="P25" i="51" s="1"/>
  <c r="N20" i="537"/>
  <c r="O20" i="537" s="1"/>
  <c r="P20" i="537" s="1"/>
  <c r="N20" i="401"/>
  <c r="O20" i="401" s="1"/>
  <c r="P20" i="401" s="1"/>
  <c r="N23" i="588"/>
  <c r="O23" i="588" s="1"/>
  <c r="P23" i="588" s="1"/>
  <c r="N22" i="145"/>
  <c r="O22" i="145" s="1"/>
  <c r="P22" i="145" s="1"/>
  <c r="N29" i="51"/>
  <c r="O29" i="51" s="1"/>
  <c r="P29" i="51" s="1"/>
  <c r="N30" i="51"/>
  <c r="O30" i="51" s="1"/>
  <c r="P30" i="51" s="1"/>
  <c r="N19" i="285"/>
  <c r="O19" i="285" s="1"/>
  <c r="P19" i="285" s="1"/>
  <c r="N22" i="97"/>
  <c r="O22" i="97" s="1"/>
  <c r="P22" i="97" s="1"/>
  <c r="N19" i="604"/>
  <c r="O19" i="604" s="1"/>
  <c r="P19" i="604" s="1"/>
  <c r="N18" i="524"/>
  <c r="O18" i="524" s="1"/>
  <c r="P18" i="524" s="1"/>
  <c r="N19" i="281"/>
  <c r="O19" i="281" s="1"/>
  <c r="P19" i="281" s="1"/>
  <c r="N20" i="281"/>
  <c r="O20" i="281" s="1"/>
  <c r="P20" i="281" s="1"/>
  <c r="DA248" i="7"/>
  <c r="H250" i="7"/>
  <c r="DA250" i="7" s="1"/>
  <c r="DA197" i="7"/>
  <c r="N22" i="366" s="1"/>
  <c r="O22" i="366" s="1"/>
  <c r="P22" i="366" s="1"/>
  <c r="H198" i="7"/>
  <c r="DA198" i="7" s="1"/>
  <c r="N19" i="332"/>
  <c r="O19" i="332" s="1"/>
  <c r="P19" i="332" s="1"/>
  <c r="N19" i="276"/>
  <c r="O19" i="276" s="1"/>
  <c r="P19" i="276" s="1"/>
  <c r="N21" i="549"/>
  <c r="O21" i="549" s="1"/>
  <c r="P21" i="549" s="1"/>
  <c r="N18" i="570"/>
  <c r="O18" i="570" s="1"/>
  <c r="P18" i="570" s="1"/>
  <c r="M30" i="570" s="1"/>
  <c r="N30" i="570" s="1"/>
  <c r="N19" i="293"/>
  <c r="O19" i="293" s="1"/>
  <c r="P19" i="293" s="1"/>
  <c r="N19" i="528"/>
  <c r="O19" i="528" s="1"/>
  <c r="P19" i="528" s="1"/>
  <c r="M33" i="528" s="1"/>
  <c r="N33" i="528" s="1"/>
  <c r="N19" i="68"/>
  <c r="R21" i="217"/>
  <c r="N19" i="64"/>
  <c r="O19" i="64" s="1"/>
  <c r="P19" i="64" s="1"/>
  <c r="N18" i="164"/>
  <c r="O18" i="164" s="1"/>
  <c r="P18" i="164" s="1"/>
  <c r="M29" i="164" s="1"/>
  <c r="N18" i="285"/>
  <c r="N18" i="340"/>
  <c r="O18" i="340" s="1"/>
  <c r="P18" i="340" s="1"/>
  <c r="N18" i="426"/>
  <c r="O18" i="426" s="1"/>
  <c r="P18" i="426" s="1"/>
  <c r="M30" i="426" s="1"/>
  <c r="N30" i="426" s="1"/>
  <c r="N20" i="235"/>
  <c r="O20" i="235" s="1"/>
  <c r="P20" i="235" s="1"/>
  <c r="DA200" i="7"/>
  <c r="DA283" i="7"/>
  <c r="M36" i="429"/>
  <c r="N36" i="429" s="1"/>
  <c r="M30" i="413"/>
  <c r="N30" i="413" s="1"/>
  <c r="N18" i="424"/>
  <c r="O18" i="424" s="1"/>
  <c r="P18" i="424" s="1"/>
  <c r="R18" i="422"/>
  <c r="S18" i="422"/>
  <c r="O18" i="422"/>
  <c r="P18" i="422" s="1"/>
  <c r="M30" i="422" s="1"/>
  <c r="N30" i="422" s="1"/>
  <c r="M28" i="321"/>
  <c r="N28" i="321" s="1"/>
  <c r="N18" i="331"/>
  <c r="O18" i="331" s="1"/>
  <c r="P18" i="331" s="1"/>
  <c r="R18" i="321"/>
  <c r="S18" i="321"/>
  <c r="DA3" i="7"/>
  <c r="N23" i="366" l="1"/>
  <c r="O23" i="366" s="1"/>
  <c r="P23" i="366" s="1"/>
  <c r="N26" i="189"/>
  <c r="O26" i="189" s="1"/>
  <c r="P26" i="189" s="1"/>
  <c r="N22" i="617"/>
  <c r="O22" i="617" s="1"/>
  <c r="P22" i="617" s="1"/>
  <c r="N21" i="145"/>
  <c r="O21" i="145" s="1"/>
  <c r="P21" i="145" s="1"/>
  <c r="N29" i="219"/>
  <c r="O29" i="219" s="1"/>
  <c r="P29" i="219" s="1"/>
  <c r="N21" i="618"/>
  <c r="O21" i="618" s="1"/>
  <c r="P21" i="618" s="1"/>
  <c r="N21" i="617"/>
  <c r="O21" i="617" s="1"/>
  <c r="P21" i="617" s="1"/>
  <c r="N20" i="621"/>
  <c r="O20" i="621" s="1"/>
  <c r="P20" i="621" s="1"/>
  <c r="N28" i="617"/>
  <c r="O28" i="617" s="1"/>
  <c r="P28" i="617" s="1"/>
  <c r="N31" i="621"/>
  <c r="O31" i="621" s="1"/>
  <c r="P31" i="621" s="1"/>
  <c r="O18" i="621"/>
  <c r="P18" i="621" s="1"/>
  <c r="N25" i="537"/>
  <c r="O25" i="537" s="1"/>
  <c r="P25" i="537" s="1"/>
  <c r="N19" i="634"/>
  <c r="O19" i="634" s="1"/>
  <c r="P19" i="634" s="1"/>
  <c r="M31" i="634" s="1"/>
  <c r="N31" i="634" s="1"/>
  <c r="N27" i="618"/>
  <c r="O27" i="618" s="1"/>
  <c r="P27" i="618" s="1"/>
  <c r="N30" i="219"/>
  <c r="O30" i="219" s="1"/>
  <c r="P30" i="219" s="1"/>
  <c r="N28" i="83"/>
  <c r="O28" i="83" s="1"/>
  <c r="P28" i="83" s="1"/>
  <c r="N25" i="41"/>
  <c r="O25" i="41" s="1"/>
  <c r="P25" i="41" s="1"/>
  <c r="N23" i="380"/>
  <c r="O23" i="380" s="1"/>
  <c r="P23" i="380" s="1"/>
  <c r="N19" i="617"/>
  <c r="O19" i="617" s="1"/>
  <c r="P19" i="617" s="1"/>
  <c r="M30" i="604"/>
  <c r="N30" i="604" s="1"/>
  <c r="N19" i="401"/>
  <c r="O19" i="401" s="1"/>
  <c r="P19" i="401" s="1"/>
  <c r="N26" i="621"/>
  <c r="O26" i="621" s="1"/>
  <c r="P26" i="621" s="1"/>
  <c r="N29" i="618"/>
  <c r="O29" i="618" s="1"/>
  <c r="P29" i="618" s="1"/>
  <c r="N25" i="189"/>
  <c r="O25" i="189" s="1"/>
  <c r="P25" i="189" s="1"/>
  <c r="N20" i="618"/>
  <c r="O20" i="618" s="1"/>
  <c r="P20" i="618" s="1"/>
  <c r="N24" i="619"/>
  <c r="O24" i="619" s="1"/>
  <c r="P24" i="619" s="1"/>
  <c r="N21" i="589"/>
  <c r="O21" i="589" s="1"/>
  <c r="P21" i="589" s="1"/>
  <c r="N19" i="391"/>
  <c r="O19" i="391" s="1"/>
  <c r="P19" i="391" s="1"/>
  <c r="N21" i="537"/>
  <c r="O21" i="537" s="1"/>
  <c r="P21" i="537" s="1"/>
  <c r="N32" i="219"/>
  <c r="O32" i="219" s="1"/>
  <c r="P32" i="219" s="1"/>
  <c r="N20" i="51"/>
  <c r="O20" i="51" s="1"/>
  <c r="P20" i="51" s="1"/>
  <c r="N19" i="41"/>
  <c r="O19" i="41" s="1"/>
  <c r="P19" i="41" s="1"/>
  <c r="N24" i="589"/>
  <c r="O24" i="589" s="1"/>
  <c r="P24" i="589" s="1"/>
  <c r="N21" i="391"/>
  <c r="O21" i="391" s="1"/>
  <c r="P21" i="391" s="1"/>
  <c r="M32" i="620"/>
  <c r="N19" i="219"/>
  <c r="O19" i="219" s="1"/>
  <c r="P19" i="219" s="1"/>
  <c r="N26" i="139"/>
  <c r="O26" i="139" s="1"/>
  <c r="P26" i="139" s="1"/>
  <c r="S18" i="524"/>
  <c r="R18" i="524"/>
  <c r="M30" i="524"/>
  <c r="N30" i="524" s="1"/>
  <c r="N20" i="131"/>
  <c r="O20" i="131" s="1"/>
  <c r="P20" i="131" s="1"/>
  <c r="N21" i="131"/>
  <c r="O21" i="131" s="1"/>
  <c r="P21" i="131" s="1"/>
  <c r="N20" i="219"/>
  <c r="O20" i="219" s="1"/>
  <c r="P20" i="219" s="1"/>
  <c r="N22" i="51"/>
  <c r="O22" i="51" s="1"/>
  <c r="P22" i="51" s="1"/>
  <c r="N20" i="139"/>
  <c r="O20" i="139" s="1"/>
  <c r="P20" i="139" s="1"/>
  <c r="N19" i="511"/>
  <c r="O19" i="511" s="1"/>
  <c r="P19" i="511" s="1"/>
  <c r="N19" i="81"/>
  <c r="O19" i="81" s="1"/>
  <c r="P19" i="81" s="1"/>
  <c r="N23" i="139"/>
  <c r="O23" i="139" s="1"/>
  <c r="P23" i="139" s="1"/>
  <c r="S21" i="217"/>
  <c r="R19" i="68"/>
  <c r="S19" i="68"/>
  <c r="O19" i="68"/>
  <c r="P19" i="68" s="1"/>
  <c r="N18" i="494"/>
  <c r="O18" i="494" s="1"/>
  <c r="P18" i="494" s="1"/>
  <c r="N22" i="139"/>
  <c r="O22" i="139" s="1"/>
  <c r="P22" i="139" s="1"/>
  <c r="N24" i="139"/>
  <c r="O24" i="139" s="1"/>
  <c r="P24" i="139" s="1"/>
  <c r="O18" i="285"/>
  <c r="P18" i="285" s="1"/>
  <c r="S18" i="285"/>
  <c r="N18" i="81"/>
  <c r="O18" i="81" s="1"/>
  <c r="P18" i="81" s="1"/>
  <c r="M30" i="340"/>
  <c r="N30" i="340" s="1"/>
  <c r="N19" i="90"/>
  <c r="N19" i="139"/>
  <c r="O19" i="139" s="1"/>
  <c r="P19" i="139" s="1"/>
  <c r="M31" i="314"/>
  <c r="N31" i="314" s="1"/>
  <c r="S19" i="285"/>
  <c r="DA5" i="7"/>
  <c r="N18" i="551" l="1"/>
  <c r="O18" i="551" s="1"/>
  <c r="P18" i="551" s="1"/>
  <c r="N18" i="574"/>
  <c r="O18" i="574" s="1"/>
  <c r="P18" i="574" s="1"/>
  <c r="M33" i="574" s="1"/>
  <c r="N33" i="574" s="1"/>
  <c r="O19" i="90"/>
  <c r="P19" i="90" s="1"/>
  <c r="N18" i="391"/>
  <c r="O18" i="391" s="1"/>
  <c r="P18" i="391" s="1"/>
  <c r="S19" i="217" l="1"/>
  <c r="R19" i="217"/>
  <c r="L35" i="44"/>
  <c r="N18" i="182" l="1"/>
  <c r="I18" i="182"/>
  <c r="H18" i="182"/>
  <c r="K18" i="182"/>
  <c r="N19" i="286"/>
  <c r="K19" i="286"/>
  <c r="I19" i="286"/>
  <c r="H19" i="286"/>
  <c r="D19" i="286"/>
  <c r="N18" i="103"/>
  <c r="O18" i="103" s="1"/>
  <c r="P18" i="103" s="1"/>
  <c r="M28" i="103" s="1"/>
  <c r="F11" i="294"/>
  <c r="N18" i="293"/>
  <c r="K18" i="293"/>
  <c r="I18" i="293"/>
  <c r="H18" i="293"/>
  <c r="D18" i="293"/>
  <c r="F11" i="293"/>
  <c r="O18" i="182" l="1"/>
  <c r="P18" i="182" s="1"/>
  <c r="O19" i="286"/>
  <c r="P19" i="286" s="1"/>
  <c r="L19" i="286"/>
  <c r="O18" i="293"/>
  <c r="P18" i="293" s="1"/>
  <c r="M30" i="293" s="1"/>
  <c r="L18" i="293"/>
  <c r="L30" i="293" s="1"/>
  <c r="L29" i="294" l="1"/>
  <c r="L30" i="294" l="1"/>
  <c r="L31" i="294" s="1"/>
  <c r="L31" i="293"/>
  <c r="L32" i="293" s="1"/>
  <c r="L32" i="294" l="1"/>
  <c r="L33" i="294" s="1"/>
  <c r="L33" i="293"/>
  <c r="L34" i="293" s="1"/>
  <c r="I269" i="6" l="1"/>
  <c r="H269" i="6"/>
  <c r="I268" i="6"/>
  <c r="H268" i="6"/>
  <c r="D269" i="6"/>
  <c r="D268" i="6"/>
  <c r="N18" i="292"/>
  <c r="K18" i="292"/>
  <c r="I18" i="292"/>
  <c r="H18" i="292"/>
  <c r="D18" i="292"/>
  <c r="F11" i="292"/>
  <c r="O18" i="292" l="1"/>
  <c r="P18" i="292" s="1"/>
  <c r="L18" i="292"/>
  <c r="L30" i="292" l="1"/>
  <c r="K18" i="291"/>
  <c r="I18" i="291"/>
  <c r="H18" i="291"/>
  <c r="F11" i="291"/>
  <c r="L31" i="292" l="1"/>
  <c r="L32" i="292" s="1"/>
  <c r="L18" i="291"/>
  <c r="L33" i="292" l="1"/>
  <c r="L34" i="292" s="1"/>
  <c r="L30" i="291"/>
  <c r="L31" i="291" l="1"/>
  <c r="L32" i="291" s="1"/>
  <c r="L33" i="291" l="1"/>
  <c r="L34" i="291" s="1"/>
  <c r="N18" i="290"/>
  <c r="K18" i="290"/>
  <c r="I18" i="290"/>
  <c r="H18" i="290"/>
  <c r="D18" i="290"/>
  <c r="F11" i="290"/>
  <c r="O18" i="290" l="1"/>
  <c r="P18" i="290" s="1"/>
  <c r="L18" i="290"/>
  <c r="L30" i="290" l="1"/>
  <c r="N18" i="287"/>
  <c r="K18" i="287"/>
  <c r="I18" i="287"/>
  <c r="H18" i="287"/>
  <c r="D18" i="287"/>
  <c r="L31" i="290" l="1"/>
  <c r="L32" i="290" s="1"/>
  <c r="O18" i="287"/>
  <c r="P18" i="287" s="1"/>
  <c r="L18" i="287"/>
  <c r="L33" i="290" l="1"/>
  <c r="L34" i="290" s="1"/>
  <c r="L29" i="287"/>
  <c r="L30" i="287" l="1"/>
  <c r="L31" i="287" s="1"/>
  <c r="L32" i="287" s="1"/>
  <c r="L33" i="287" s="1"/>
  <c r="K18" i="286" l="1"/>
  <c r="I18" i="286"/>
  <c r="H18" i="286"/>
  <c r="D18" i="286"/>
  <c r="F11" i="286"/>
  <c r="F11" i="285"/>
  <c r="K18" i="283"/>
  <c r="I18" i="283"/>
  <c r="H18" i="283"/>
  <c r="D18" i="283"/>
  <c r="F11" i="283"/>
  <c r="K18" i="282"/>
  <c r="I18" i="282"/>
  <c r="H18" i="282"/>
  <c r="F11" i="282"/>
  <c r="N18" i="281"/>
  <c r="K18" i="281"/>
  <c r="I18" i="281"/>
  <c r="H18" i="281"/>
  <c r="D18" i="281"/>
  <c r="F11" i="281"/>
  <c r="F11" i="280"/>
  <c r="L18" i="286" l="1"/>
  <c r="M29" i="285"/>
  <c r="L29" i="285"/>
  <c r="L18" i="283"/>
  <c r="L37" i="283" s="1"/>
  <c r="L18" i="282"/>
  <c r="L31" i="282" s="1"/>
  <c r="O18" i="281"/>
  <c r="P18" i="281" s="1"/>
  <c r="L18" i="281"/>
  <c r="L28" i="280"/>
  <c r="L26" i="286" l="1"/>
  <c r="L30" i="285"/>
  <c r="L31" i="285" s="1"/>
  <c r="M31" i="281"/>
  <c r="L31" i="281"/>
  <c r="L32" i="281" s="1"/>
  <c r="L33" i="281" s="1"/>
  <c r="L38" i="283"/>
  <c r="L39" i="283" s="1"/>
  <c r="L32" i="282"/>
  <c r="L33" i="282" s="1"/>
  <c r="L29" i="280"/>
  <c r="L30" i="280" s="1"/>
  <c r="K18" i="124"/>
  <c r="N18" i="124"/>
  <c r="I18" i="124"/>
  <c r="H18" i="124"/>
  <c r="D18" i="124"/>
  <c r="L27" i="286" l="1"/>
  <c r="L28" i="286" s="1"/>
  <c r="L32" i="285"/>
  <c r="L33" i="285" s="1"/>
  <c r="N31" i="281"/>
  <c r="L40" i="283"/>
  <c r="L41" i="283" s="1"/>
  <c r="L34" i="282"/>
  <c r="L35" i="282" s="1"/>
  <c r="L34" i="281"/>
  <c r="L35" i="281" s="1"/>
  <c r="L31" i="280"/>
  <c r="L32" i="280" s="1"/>
  <c r="O18" i="124"/>
  <c r="P18" i="124" s="1"/>
  <c r="L18" i="124"/>
  <c r="L29" i="124" s="1"/>
  <c r="L29" i="286" l="1"/>
  <c r="L30" i="286" s="1"/>
  <c r="I252" i="7"/>
  <c r="CS252" i="7" s="1"/>
  <c r="I226" i="7"/>
  <c r="CS226" i="7" s="1"/>
  <c r="I220" i="7"/>
  <c r="CS220" i="7" s="1"/>
  <c r="I18" i="278"/>
  <c r="H18" i="278"/>
  <c r="D18" i="278"/>
  <c r="F11" i="278"/>
  <c r="M34" i="278" l="1"/>
  <c r="L18" i="278"/>
  <c r="L34" i="278" l="1"/>
  <c r="K18" i="277"/>
  <c r="L18" i="277" s="1"/>
  <c r="L32" i="277" s="1"/>
  <c r="I18" i="277"/>
  <c r="H18" i="277"/>
  <c r="F11" i="277"/>
  <c r="L35" i="278" l="1"/>
  <c r="L36" i="278" s="1"/>
  <c r="L33" i="277"/>
  <c r="L34" i="277" s="1"/>
  <c r="L37" i="278" l="1"/>
  <c r="L38" i="278" s="1"/>
  <c r="L35" i="277"/>
  <c r="L36" i="277" s="1"/>
  <c r="N18" i="276" l="1"/>
  <c r="K18" i="276"/>
  <c r="I18" i="276"/>
  <c r="H18" i="276"/>
  <c r="D18" i="276"/>
  <c r="F11" i="276"/>
  <c r="O18" i="276" l="1"/>
  <c r="P18" i="276" s="1"/>
  <c r="M30" i="276" s="1"/>
  <c r="L18" i="276"/>
  <c r="L30" i="276" s="1"/>
  <c r="N30" i="276" l="1"/>
  <c r="L31" i="276"/>
  <c r="L32" i="276" s="1"/>
  <c r="L33" i="276" l="1"/>
  <c r="L34" i="276" s="1"/>
  <c r="N18" i="274" l="1"/>
  <c r="K18" i="274"/>
  <c r="I18" i="274"/>
  <c r="H18" i="274"/>
  <c r="D18" i="274"/>
  <c r="F11" i="274"/>
  <c r="I18" i="273"/>
  <c r="H18" i="273"/>
  <c r="D18" i="273"/>
  <c r="F11" i="273"/>
  <c r="O18" i="274" l="1"/>
  <c r="P18" i="274" s="1"/>
  <c r="M29" i="274" s="1"/>
  <c r="L30" i="273"/>
  <c r="L31" i="273" s="1"/>
  <c r="L32" i="273" s="1"/>
  <c r="L18" i="274"/>
  <c r="L29" i="274" s="1"/>
  <c r="L30" i="274" l="1"/>
  <c r="L31" i="274" s="1"/>
  <c r="L33" i="273"/>
  <c r="L34" i="273" s="1"/>
  <c r="L32" i="274" l="1"/>
  <c r="L33" i="274" s="1"/>
  <c r="N1048564" i="76" l="1"/>
  <c r="K1048564" i="76"/>
  <c r="I1048564" i="76"/>
  <c r="H1048564" i="76"/>
  <c r="O1048564" i="76" l="1"/>
  <c r="P1048564" i="76" s="1"/>
  <c r="L1048564" i="76"/>
  <c r="N19" i="65" l="1"/>
  <c r="K19" i="65"/>
  <c r="I19" i="65"/>
  <c r="H19" i="65"/>
  <c r="D19" i="65"/>
  <c r="O19" i="65" l="1"/>
  <c r="P19" i="65" s="1"/>
  <c r="L19" i="65"/>
  <c r="L37" i="270" l="1"/>
  <c r="F11" i="270"/>
  <c r="N18" i="269"/>
  <c r="K18" i="269"/>
  <c r="L18" i="269" s="1"/>
  <c r="I18" i="269"/>
  <c r="H18" i="269"/>
  <c r="D18" i="269"/>
  <c r="F11" i="269"/>
  <c r="K18" i="268"/>
  <c r="F11" i="268"/>
  <c r="I18" i="268"/>
  <c r="H18" i="268"/>
  <c r="D18" i="268"/>
  <c r="O18" i="269" l="1"/>
  <c r="P18" i="269" s="1"/>
  <c r="L31" i="269"/>
  <c r="L32" i="269" s="1"/>
  <c r="L33" i="269" s="1"/>
  <c r="L18" i="268"/>
  <c r="L34" i="269" l="1"/>
  <c r="L35" i="269" s="1"/>
  <c r="L32" i="268"/>
  <c r="L33" i="268" s="1"/>
  <c r="L34" i="268" s="1"/>
  <c r="L38" i="270" l="1"/>
  <c r="L39" i="270" s="1"/>
  <c r="L35" i="268"/>
  <c r="L36" i="268" s="1"/>
  <c r="L40" i="270" l="1"/>
  <c r="L41" i="270" s="1"/>
  <c r="D18" i="76" l="1"/>
  <c r="K18" i="219"/>
  <c r="L18" i="219" s="1"/>
  <c r="L43" i="219" s="1"/>
  <c r="I18" i="219"/>
  <c r="H18" i="219"/>
  <c r="D18" i="219"/>
  <c r="K18" i="232" l="1"/>
  <c r="I18" i="232"/>
  <c r="H18" i="232"/>
  <c r="D18" i="232"/>
  <c r="L18" i="232" l="1"/>
  <c r="K18" i="263" l="1"/>
  <c r="Q31" i="263"/>
  <c r="D18" i="263"/>
  <c r="F11" i="263"/>
  <c r="I18" i="263" l="1"/>
  <c r="H18" i="263"/>
  <c r="O18" i="263" l="1"/>
  <c r="P18" i="263" s="1"/>
  <c r="M26" i="263" s="1"/>
  <c r="L18" i="263"/>
  <c r="L26" i="263" s="1"/>
  <c r="N26" i="263" l="1"/>
  <c r="L27" i="263"/>
  <c r="L28" i="263" s="1"/>
  <c r="L29" i="263" l="1"/>
  <c r="L30" i="263" s="1"/>
  <c r="M30" i="263" s="1"/>
  <c r="O15" i="249" l="1"/>
  <c r="F11" i="181" l="1"/>
  <c r="N9" i="181"/>
  <c r="D18" i="239" l="1"/>
  <c r="N19" i="185"/>
  <c r="K20" i="185"/>
  <c r="L20" i="185" s="1"/>
  <c r="I20" i="185"/>
  <c r="H20" i="185"/>
  <c r="I19" i="185"/>
  <c r="H19" i="185"/>
  <c r="D20" i="185"/>
  <c r="D19" i="185"/>
  <c r="N18" i="227" l="1"/>
  <c r="D18" i="102" l="1"/>
  <c r="H18" i="102"/>
  <c r="I18" i="102"/>
  <c r="K18" i="102"/>
  <c r="L18" i="102" s="1"/>
  <c r="L32" i="102" s="1"/>
  <c r="H18" i="76" l="1"/>
  <c r="I18" i="76"/>
  <c r="K18" i="76"/>
  <c r="L18" i="76" s="1"/>
  <c r="L31" i="76" s="1"/>
  <c r="AM244" i="7" l="1"/>
  <c r="I18" i="255" l="1"/>
  <c r="H18" i="255"/>
  <c r="D18" i="255"/>
  <c r="F11" i="255"/>
  <c r="L18" i="255" l="1"/>
  <c r="L29" i="255" s="1"/>
  <c r="L30" i="255" l="1"/>
  <c r="L31" i="255" s="1"/>
  <c r="L32" i="255" l="1"/>
  <c r="L33" i="255" s="1"/>
  <c r="N34" i="278"/>
  <c r="N18" i="255" l="1"/>
  <c r="O18" i="255" s="1"/>
  <c r="P18" i="255" s="1"/>
  <c r="D18" i="90" l="1"/>
  <c r="I18" i="50"/>
  <c r="N18" i="235" l="1"/>
  <c r="K18" i="235"/>
  <c r="I18" i="235"/>
  <c r="H18" i="235"/>
  <c r="F11" i="70"/>
  <c r="O18" i="235" l="1"/>
  <c r="P18" i="235" s="1"/>
  <c r="L18" i="235"/>
  <c r="K55" i="96" l="1"/>
  <c r="I55" i="96"/>
  <c r="H55" i="96"/>
  <c r="D55" i="96"/>
  <c r="I23" i="121" l="1"/>
  <c r="H23" i="121"/>
  <c r="D23" i="121"/>
  <c r="K18" i="67" l="1"/>
  <c r="I18" i="67"/>
  <c r="H18" i="67"/>
  <c r="H266" i="7"/>
  <c r="DA266" i="7" s="1"/>
  <c r="L18" i="67" l="1"/>
  <c r="I60" i="139"/>
  <c r="H60" i="139"/>
  <c r="D60" i="139"/>
  <c r="K18" i="83" l="1"/>
  <c r="L18" i="83" s="1"/>
  <c r="I18" i="83"/>
  <c r="H18" i="83"/>
  <c r="DA195" i="68" l="1"/>
  <c r="DA194" i="68"/>
  <c r="DA200" i="68"/>
  <c r="I25" i="139" l="1"/>
  <c r="H25" i="139"/>
  <c r="D25" i="139"/>
  <c r="I21" i="139"/>
  <c r="H21" i="139"/>
  <c r="D21" i="139"/>
  <c r="N18" i="146" l="1"/>
  <c r="K53" i="96" l="1"/>
  <c r="I53" i="96"/>
  <c r="H53" i="96"/>
  <c r="D53" i="96"/>
  <c r="K54" i="96"/>
  <c r="I54" i="96"/>
  <c r="H54" i="96"/>
  <c r="D54" i="96"/>
  <c r="F11" i="81" l="1"/>
  <c r="N18" i="36" l="1"/>
  <c r="F11" i="249" l="1"/>
  <c r="L30" i="249" l="1"/>
  <c r="N30" i="249" l="1"/>
  <c r="L31" i="249"/>
  <c r="L32" i="249" s="1"/>
  <c r="L33" i="249" l="1"/>
  <c r="L34" i="249" s="1"/>
  <c r="N18" i="248"/>
  <c r="K18" i="248"/>
  <c r="I18" i="248"/>
  <c r="H18" i="248"/>
  <c r="D18" i="248"/>
  <c r="F11" i="248"/>
  <c r="O18" i="248" l="1"/>
  <c r="P18" i="248" s="1"/>
  <c r="M27" i="248" s="1"/>
  <c r="L18" i="248"/>
  <c r="L27" i="248" s="1"/>
  <c r="N27" i="248" l="1"/>
  <c r="L28" i="248"/>
  <c r="L29" i="248" s="1"/>
  <c r="F11" i="246"/>
  <c r="L30" i="248" l="1"/>
  <c r="L31" i="248" s="1"/>
  <c r="L37" i="246" l="1"/>
  <c r="L38" i="246" s="1"/>
  <c r="L39" i="246" l="1"/>
  <c r="L40" i="246" s="1"/>
  <c r="N18" i="121" l="1"/>
  <c r="I30" i="139" l="1"/>
  <c r="H30" i="139"/>
  <c r="D30" i="139"/>
  <c r="L30" i="139" l="1"/>
  <c r="K18" i="169" l="1"/>
  <c r="I18" i="169"/>
  <c r="H18" i="169"/>
  <c r="L18" i="169" l="1"/>
  <c r="N18" i="119" l="1"/>
  <c r="N18" i="106"/>
  <c r="N18" i="176"/>
  <c r="H109" i="7" l="1"/>
  <c r="DA109" i="7" l="1"/>
  <c r="N23" i="219" s="1"/>
  <c r="O23" i="219" s="1"/>
  <c r="P23" i="219" s="1"/>
  <c r="N18" i="181"/>
  <c r="O18" i="181" s="1"/>
  <c r="P18" i="181" s="1"/>
  <c r="M31" i="181" s="1"/>
  <c r="N18" i="480" l="1"/>
  <c r="O18" i="480" s="1"/>
  <c r="P18" i="480" s="1"/>
  <c r="M31" i="480" s="1"/>
  <c r="N31" i="480" s="1"/>
  <c r="D18" i="238"/>
  <c r="N18" i="97" l="1"/>
  <c r="N18" i="169" l="1"/>
  <c r="O18" i="169" s="1"/>
  <c r="P18" i="169" s="1"/>
  <c r="M35" i="169" s="1"/>
  <c r="N18" i="150"/>
  <c r="S20" i="217" l="1"/>
  <c r="R20" i="217"/>
  <c r="N18" i="70" l="1"/>
  <c r="R18" i="70" s="1"/>
  <c r="S12" i="117"/>
  <c r="T12" i="117" s="1"/>
  <c r="S13" i="117"/>
  <c r="T13" i="117" s="1"/>
  <c r="T15" i="117" l="1"/>
  <c r="U15" i="117" s="1"/>
  <c r="V15" i="117" s="1"/>
  <c r="W15" i="117" s="1"/>
  <c r="N18" i="187" l="1"/>
  <c r="N19" i="45"/>
  <c r="N18" i="45"/>
  <c r="N21" i="222"/>
  <c r="N18" i="222"/>
  <c r="N18" i="230"/>
  <c r="O18" i="227"/>
  <c r="P18" i="227" s="1"/>
  <c r="N18" i="228"/>
  <c r="N18" i="139"/>
  <c r="N18" i="215" l="1"/>
  <c r="M30" i="291" l="1"/>
  <c r="N30" i="291" s="1"/>
  <c r="M29" i="255"/>
  <c r="N29" i="255" s="1"/>
  <c r="N18" i="286"/>
  <c r="O18" i="286" s="1"/>
  <c r="P18" i="286" s="1"/>
  <c r="M26" i="286" s="1"/>
  <c r="N26" i="286" s="1"/>
  <c r="M32" i="268"/>
  <c r="N18" i="219"/>
  <c r="O18" i="219" s="1"/>
  <c r="P18" i="219" s="1"/>
  <c r="N30" i="293"/>
  <c r="M29" i="294"/>
  <c r="N29" i="294" s="1"/>
  <c r="M30" i="292"/>
  <c r="N30" i="292" s="1"/>
  <c r="M31" i="282"/>
  <c r="M30" i="290"/>
  <c r="N30" i="290" s="1"/>
  <c r="M30" i="273"/>
  <c r="N30" i="273" s="1"/>
  <c r="M29" i="287"/>
  <c r="N29" i="287" s="1"/>
  <c r="N18" i="283"/>
  <c r="O18" i="283" s="1"/>
  <c r="P18" i="283" s="1"/>
  <c r="M37" i="283" s="1"/>
  <c r="N37" i="283" s="1"/>
  <c r="N29" i="274"/>
  <c r="N18" i="78"/>
  <c r="M31" i="269"/>
  <c r="N31" i="269" s="1"/>
  <c r="N18" i="90"/>
  <c r="N18" i="185"/>
  <c r="N30" i="139"/>
  <c r="O30" i="139" s="1"/>
  <c r="P30" i="139" s="1"/>
  <c r="N18" i="83"/>
  <c r="O18" i="83" s="1"/>
  <c r="P18" i="83" s="1"/>
  <c r="N18" i="184"/>
  <c r="N21" i="139"/>
  <c r="N18" i="65"/>
  <c r="N18" i="238"/>
  <c r="N18" i="239"/>
  <c r="N18" i="46"/>
  <c r="N18" i="86"/>
  <c r="N18" i="131"/>
  <c r="N18" i="217"/>
  <c r="N18" i="214"/>
  <c r="N18" i="209"/>
  <c r="N18" i="204"/>
  <c r="N18" i="216"/>
  <c r="N19" i="46"/>
  <c r="Q41" i="41"/>
  <c r="S18" i="217" l="1"/>
  <c r="R18" i="217"/>
  <c r="S20" i="120"/>
  <c r="N29" i="285"/>
  <c r="S19" i="120"/>
  <c r="M28" i="280"/>
  <c r="N28" i="280" s="1"/>
  <c r="M32" i="277" l="1"/>
  <c r="N32" i="277" s="1"/>
  <c r="L32" i="243" l="1"/>
  <c r="L33" i="243" l="1"/>
  <c r="L34" i="243" s="1"/>
  <c r="L35" i="243" l="1"/>
  <c r="L36" i="243" s="1"/>
  <c r="K18" i="215" l="1"/>
  <c r="O18" i="215" s="1"/>
  <c r="P18" i="215" s="1"/>
  <c r="K18" i="239" l="1"/>
  <c r="O18" i="239" s="1"/>
  <c r="P18" i="239" s="1"/>
  <c r="M30" i="239" s="1"/>
  <c r="I18" i="239"/>
  <c r="H18" i="239"/>
  <c r="F11" i="239"/>
  <c r="L18" i="239" l="1"/>
  <c r="L30" i="239" s="1"/>
  <c r="L31" i="239" s="1"/>
  <c r="L32" i="239" s="1"/>
  <c r="N30" i="239" l="1"/>
  <c r="L33" i="239"/>
  <c r="L34" i="239" s="1"/>
  <c r="H386" i="7" l="1"/>
  <c r="DA386" i="7" s="1"/>
  <c r="H384" i="7"/>
  <c r="DA384" i="7" s="1"/>
  <c r="K18" i="238" l="1"/>
  <c r="O18" i="238" s="1"/>
  <c r="P18" i="238" s="1"/>
  <c r="I18" i="238"/>
  <c r="H18" i="238"/>
  <c r="F11" i="238"/>
  <c r="M32" i="238" l="1"/>
  <c r="L18" i="238"/>
  <c r="L32" i="238" l="1"/>
  <c r="L33" i="238" s="1"/>
  <c r="L34" i="238" s="1"/>
  <c r="L35" i="238" s="1"/>
  <c r="L36" i="238" s="1"/>
  <c r="C18" i="237"/>
  <c r="F11" i="237"/>
  <c r="N32" i="238" l="1"/>
  <c r="K18" i="237"/>
  <c r="N18" i="237"/>
  <c r="D18" i="237"/>
  <c r="H18" i="237"/>
  <c r="I18" i="237"/>
  <c r="O18" i="237" l="1"/>
  <c r="P18" i="237" s="1"/>
  <c r="M27" i="237" s="1"/>
  <c r="L18" i="237"/>
  <c r="L27" i="237" s="1"/>
  <c r="N27" i="237" l="1"/>
  <c r="L28" i="237"/>
  <c r="L29" i="237" s="1"/>
  <c r="L30" i="237" s="1"/>
  <c r="L31" i="237" s="1"/>
  <c r="K18" i="236" l="1"/>
  <c r="I18" i="236"/>
  <c r="H18" i="236"/>
  <c r="D18" i="236"/>
  <c r="F11" i="236"/>
  <c r="F11" i="235"/>
  <c r="M32" i="235" l="1"/>
  <c r="L18" i="236"/>
  <c r="D18" i="235"/>
  <c r="L32" i="235" l="1"/>
  <c r="L33" i="235" s="1"/>
  <c r="L34" i="235" s="1"/>
  <c r="L35" i="235" s="1"/>
  <c r="L36" i="235" s="1"/>
  <c r="L29" i="236"/>
  <c r="N32" i="235" l="1"/>
  <c r="L30" i="236"/>
  <c r="L31" i="236" s="1"/>
  <c r="L32" i="236" s="1"/>
  <c r="L33" i="236" s="1"/>
  <c r="F11" i="233" l="1"/>
  <c r="K18" i="233" l="1"/>
  <c r="N18" i="233"/>
  <c r="D18" i="233"/>
  <c r="H18" i="233"/>
  <c r="I18" i="233"/>
  <c r="O18" i="233" l="1"/>
  <c r="P18" i="233" s="1"/>
  <c r="M30" i="233" s="1"/>
  <c r="L18" i="233"/>
  <c r="L30" i="233" l="1"/>
  <c r="N30" i="233" s="1"/>
  <c r="L32" i="233" l="1"/>
  <c r="F11" i="232"/>
  <c r="L33" i="233" l="1"/>
  <c r="L34" i="233" s="1"/>
  <c r="L29" i="232"/>
  <c r="L30" i="232" l="1"/>
  <c r="L31" i="232" s="1"/>
  <c r="L32" i="232" s="1"/>
  <c r="L33" i="232" s="1"/>
  <c r="L18" i="164" l="1"/>
  <c r="I18" i="164"/>
  <c r="H18" i="164"/>
  <c r="D18" i="164"/>
  <c r="K19" i="157" l="1"/>
  <c r="L19" i="157" s="1"/>
  <c r="I19" i="157"/>
  <c r="H19" i="157"/>
  <c r="D19" i="157"/>
  <c r="K19" i="180"/>
  <c r="L19" i="180" s="1"/>
  <c r="I19" i="180"/>
  <c r="H19" i="180"/>
  <c r="D19" i="180"/>
  <c r="K18" i="41" l="1"/>
  <c r="I18" i="41"/>
  <c r="H18" i="41"/>
  <c r="D18" i="41"/>
  <c r="L18" i="41" l="1"/>
  <c r="K18" i="228"/>
  <c r="O18" i="228" s="1"/>
  <c r="P18" i="228" s="1"/>
  <c r="D18" i="83" l="1"/>
  <c r="H316" i="7" l="1"/>
  <c r="DA316" i="7" s="1"/>
  <c r="I18" i="217"/>
  <c r="D18" i="217"/>
  <c r="K18" i="204"/>
  <c r="I18" i="204"/>
  <c r="H18" i="204"/>
  <c r="D18" i="204"/>
  <c r="L18" i="217" l="1"/>
  <c r="O18" i="217"/>
  <c r="P18" i="217" s="1"/>
  <c r="L18" i="204"/>
  <c r="L34" i="204" s="1"/>
  <c r="O18" i="204"/>
  <c r="P18" i="204" s="1"/>
  <c r="I19" i="184" l="1"/>
  <c r="H19" i="184"/>
  <c r="D19" i="184"/>
  <c r="K18" i="176" l="1"/>
  <c r="O18" i="176" s="1"/>
  <c r="P18" i="176" s="1"/>
  <c r="L34" i="49" l="1"/>
  <c r="C18" i="68"/>
  <c r="K18" i="230"/>
  <c r="I18" i="230"/>
  <c r="H18" i="230"/>
  <c r="D18" i="230"/>
  <c r="N18" i="68" l="1"/>
  <c r="S18" i="68" s="1"/>
  <c r="I18" i="68"/>
  <c r="H18" i="68"/>
  <c r="K18" i="68"/>
  <c r="L18" i="68" s="1"/>
  <c r="L18" i="230"/>
  <c r="L29" i="230" s="1"/>
  <c r="L30" i="230" s="1"/>
  <c r="L31" i="230" s="1"/>
  <c r="O18" i="230"/>
  <c r="P18" i="230" s="1"/>
  <c r="M29" i="230" s="1"/>
  <c r="D18" i="68"/>
  <c r="O18" i="68" l="1"/>
  <c r="P18" i="68" s="1"/>
  <c r="M30" i="68" s="1"/>
  <c r="R18" i="68"/>
  <c r="N29" i="230"/>
  <c r="L32" i="230"/>
  <c r="L33" i="230" s="1"/>
  <c r="L18" i="228" l="1"/>
  <c r="I18" i="228"/>
  <c r="H18" i="228"/>
  <c r="D18" i="228"/>
  <c r="F11" i="228"/>
  <c r="L18" i="227"/>
  <c r="F11" i="227"/>
  <c r="L30" i="228" l="1"/>
  <c r="L26" i="227"/>
  <c r="M30" i="228" l="1"/>
  <c r="N30" i="228" s="1"/>
  <c r="L31" i="228"/>
  <c r="L32" i="228" s="1"/>
  <c r="L27" i="227"/>
  <c r="L28" i="227" s="1"/>
  <c r="L33" i="228" l="1"/>
  <c r="L34" i="228" s="1"/>
  <c r="L29" i="227"/>
  <c r="L30" i="227" s="1"/>
  <c r="K22" i="179" l="1"/>
  <c r="L22" i="179" s="1"/>
  <c r="I22" i="179"/>
  <c r="H22" i="179"/>
  <c r="D22" i="179"/>
  <c r="K21" i="179"/>
  <c r="L21" i="179" s="1"/>
  <c r="I21" i="179"/>
  <c r="H21" i="179"/>
  <c r="D21" i="179"/>
  <c r="K21" i="222" l="1"/>
  <c r="I21" i="222"/>
  <c r="H21" i="222"/>
  <c r="D21" i="222"/>
  <c r="K20" i="222"/>
  <c r="I20" i="222"/>
  <c r="H20" i="222"/>
  <c r="D20" i="222"/>
  <c r="K19" i="222"/>
  <c r="I19" i="222"/>
  <c r="H19" i="222"/>
  <c r="D19" i="222"/>
  <c r="K18" i="222"/>
  <c r="I18" i="222"/>
  <c r="H18" i="222"/>
  <c r="D18" i="222"/>
  <c r="F11" i="222"/>
  <c r="L18" i="222" l="1"/>
  <c r="O18" i="222"/>
  <c r="P18" i="222" s="1"/>
  <c r="L20" i="222"/>
  <c r="L19" i="222"/>
  <c r="L21" i="222"/>
  <c r="O21" i="222"/>
  <c r="P21" i="222" s="1"/>
  <c r="L27" i="222" l="1"/>
  <c r="L28" i="222" s="1"/>
  <c r="L29" i="222" s="1"/>
  <c r="L30" i="222" s="1"/>
  <c r="L31" i="222" s="1"/>
  <c r="D18" i="221" l="1"/>
  <c r="F11" i="221"/>
  <c r="L27" i="221" l="1"/>
  <c r="L28" i="221" l="1"/>
  <c r="L29" i="221" s="1"/>
  <c r="L30" i="221" l="1"/>
  <c r="L31" i="221" s="1"/>
  <c r="O18" i="78" l="1"/>
  <c r="P18" i="78" s="1"/>
  <c r="D18" i="185" l="1"/>
  <c r="H110" i="7" l="1"/>
  <c r="H216" i="7"/>
  <c r="H263" i="7"/>
  <c r="DA263" i="7" s="1"/>
  <c r="H241" i="7"/>
  <c r="H242" i="7" s="1"/>
  <c r="DA242" i="7" s="1"/>
  <c r="H210" i="7"/>
  <c r="DA210" i="7" s="1"/>
  <c r="DA110" i="7" l="1"/>
  <c r="N21" i="619" s="1"/>
  <c r="O21" i="619" s="1"/>
  <c r="P21" i="619" s="1"/>
  <c r="H112" i="7"/>
  <c r="DA112" i="7" s="1"/>
  <c r="DA216" i="7"/>
  <c r="H217" i="7"/>
  <c r="DA217" i="7" s="1"/>
  <c r="DA241" i="7"/>
  <c r="N22" i="619" s="1"/>
  <c r="O22" i="619" s="1"/>
  <c r="P22" i="619" s="1"/>
  <c r="H243" i="7"/>
  <c r="DA243" i="7" s="1"/>
  <c r="M31" i="427"/>
  <c r="N31" i="427" s="1"/>
  <c r="N23" i="189"/>
  <c r="O23" i="189" s="1"/>
  <c r="P23" i="189" s="1"/>
  <c r="N18" i="432"/>
  <c r="N18" i="44"/>
  <c r="O18" i="44" s="1"/>
  <c r="P18" i="44" s="1"/>
  <c r="M35" i="445"/>
  <c r="N35" i="445" s="1"/>
  <c r="N18" i="443"/>
  <c r="O18" i="443" s="1"/>
  <c r="P18" i="443" s="1"/>
  <c r="M32" i="443" s="1"/>
  <c r="N18" i="366"/>
  <c r="O18" i="366" s="1"/>
  <c r="P18" i="366" s="1"/>
  <c r="H244" i="7"/>
  <c r="DA244" i="7" s="1"/>
  <c r="H219" i="7"/>
  <c r="DA219" i="7" s="1"/>
  <c r="H218" i="7"/>
  <c r="DA218" i="7" s="1"/>
  <c r="N28" i="139"/>
  <c r="O28" i="139" s="1"/>
  <c r="P28" i="139" s="1"/>
  <c r="H134" i="7"/>
  <c r="DA134" i="7" s="1"/>
  <c r="H379" i="7"/>
  <c r="N24" i="366" l="1"/>
  <c r="O24" i="366" s="1"/>
  <c r="P24" i="366" s="1"/>
  <c r="N21" i="189"/>
  <c r="O21" i="189" s="1"/>
  <c r="P21" i="189" s="1"/>
  <c r="N25" i="219"/>
  <c r="O25" i="219" s="1"/>
  <c r="P25" i="219" s="1"/>
  <c r="N20" i="619"/>
  <c r="O20" i="619" s="1"/>
  <c r="P20" i="619" s="1"/>
  <c r="N24" i="621"/>
  <c r="O24" i="621" s="1"/>
  <c r="P24" i="621" s="1"/>
  <c r="N26" i="366"/>
  <c r="O26" i="366" s="1"/>
  <c r="P26" i="366" s="1"/>
  <c r="N19" i="416"/>
  <c r="O19" i="416" s="1"/>
  <c r="P19" i="416" s="1"/>
  <c r="M28" i="416" s="1"/>
  <c r="N28" i="416" s="1"/>
  <c r="N29" i="617"/>
  <c r="O29" i="617" s="1"/>
  <c r="P29" i="617" s="1"/>
  <c r="N22" i="618"/>
  <c r="O22" i="618" s="1"/>
  <c r="P22" i="618" s="1"/>
  <c r="N20" i="145"/>
  <c r="O20" i="145" s="1"/>
  <c r="P20" i="145" s="1"/>
  <c r="N21" i="621"/>
  <c r="O21" i="621" s="1"/>
  <c r="P21" i="621" s="1"/>
  <c r="N20" i="589"/>
  <c r="O20" i="589" s="1"/>
  <c r="P20" i="589" s="1"/>
  <c r="N19" i="589"/>
  <c r="O19" i="589" s="1"/>
  <c r="P19" i="589" s="1"/>
  <c r="N28" i="380"/>
  <c r="O28" i="380" s="1"/>
  <c r="P28" i="380" s="1"/>
  <c r="N27" i="83"/>
  <c r="O27" i="83" s="1"/>
  <c r="P27" i="83" s="1"/>
  <c r="N25" i="618"/>
  <c r="O25" i="618" s="1"/>
  <c r="P25" i="618" s="1"/>
  <c r="N23" i="41"/>
  <c r="O23" i="41" s="1"/>
  <c r="P23" i="41" s="1"/>
  <c r="N25" i="380"/>
  <c r="O25" i="380" s="1"/>
  <c r="P25" i="380" s="1"/>
  <c r="N24" i="189"/>
  <c r="O24" i="189" s="1"/>
  <c r="P24" i="189" s="1"/>
  <c r="N19" i="432"/>
  <c r="O19" i="432" s="1"/>
  <c r="P19" i="432" s="1"/>
  <c r="N25" i="83"/>
  <c r="O25" i="83" s="1"/>
  <c r="P25" i="83" s="1"/>
  <c r="N21" i="588"/>
  <c r="O21" i="588" s="1"/>
  <c r="P21" i="588" s="1"/>
  <c r="N20" i="391"/>
  <c r="O20" i="391" s="1"/>
  <c r="P20" i="391" s="1"/>
  <c r="N27" i="621"/>
  <c r="O27" i="621" s="1"/>
  <c r="P27" i="621" s="1"/>
  <c r="N27" i="617"/>
  <c r="O27" i="617" s="1"/>
  <c r="P27" i="617" s="1"/>
  <c r="N19" i="590"/>
  <c r="O19" i="590" s="1"/>
  <c r="P19" i="590" s="1"/>
  <c r="N22" i="432"/>
  <c r="O22" i="432" s="1"/>
  <c r="P22" i="432" s="1"/>
  <c r="N18" i="589"/>
  <c r="O18" i="589" s="1"/>
  <c r="P18" i="589" s="1"/>
  <c r="N24" i="618"/>
  <c r="O24" i="618" s="1"/>
  <c r="P24" i="618" s="1"/>
  <c r="N20" i="432"/>
  <c r="O20" i="432" s="1"/>
  <c r="P20" i="432" s="1"/>
  <c r="N24" i="617"/>
  <c r="O24" i="617" s="1"/>
  <c r="P24" i="617" s="1"/>
  <c r="N19" i="618"/>
  <c r="O19" i="618" s="1"/>
  <c r="P19" i="618" s="1"/>
  <c r="N24" i="537"/>
  <c r="O24" i="537" s="1"/>
  <c r="P24" i="537" s="1"/>
  <c r="N22" i="588"/>
  <c r="O22" i="588" s="1"/>
  <c r="P22" i="588" s="1"/>
  <c r="N25" i="619"/>
  <c r="O25" i="619" s="1"/>
  <c r="P25" i="619" s="1"/>
  <c r="N22" i="189"/>
  <c r="O22" i="189" s="1"/>
  <c r="P22" i="189" s="1"/>
  <c r="N22" i="589"/>
  <c r="O22" i="589" s="1"/>
  <c r="P22" i="589" s="1"/>
  <c r="N31" i="219"/>
  <c r="O31" i="219" s="1"/>
  <c r="P31" i="219" s="1"/>
  <c r="N21" i="401"/>
  <c r="O21" i="401" s="1"/>
  <c r="P21" i="401" s="1"/>
  <c r="N28" i="219"/>
  <c r="O28" i="219" s="1"/>
  <c r="P28" i="219" s="1"/>
  <c r="N22" i="391"/>
  <c r="O22" i="391" s="1"/>
  <c r="P22" i="391" s="1"/>
  <c r="N19" i="145"/>
  <c r="O19" i="145" s="1"/>
  <c r="P19" i="145" s="1"/>
  <c r="N18" i="67"/>
  <c r="O18" i="67" s="1"/>
  <c r="P18" i="67" s="1"/>
  <c r="N24" i="219"/>
  <c r="O24" i="219" s="1"/>
  <c r="P24" i="219" s="1"/>
  <c r="N19" i="370"/>
  <c r="O19" i="370" s="1"/>
  <c r="P19" i="370" s="1"/>
  <c r="N26" i="617"/>
  <c r="O26" i="617" s="1"/>
  <c r="P26" i="617" s="1"/>
  <c r="N19" i="619"/>
  <c r="O19" i="619" s="1"/>
  <c r="P19" i="619" s="1"/>
  <c r="N19" i="189"/>
  <c r="O19" i="189" s="1"/>
  <c r="P19" i="189" s="1"/>
  <c r="N20" i="588"/>
  <c r="O20" i="588" s="1"/>
  <c r="P20" i="588" s="1"/>
  <c r="N23" i="51"/>
  <c r="O23" i="51" s="1"/>
  <c r="P23" i="51" s="1"/>
  <c r="N25" i="617"/>
  <c r="O25" i="617" s="1"/>
  <c r="P25" i="617" s="1"/>
  <c r="N20" i="41"/>
  <c r="O20" i="41" s="1"/>
  <c r="P20" i="41" s="1"/>
  <c r="N18" i="590"/>
  <c r="O18" i="590" s="1"/>
  <c r="P18" i="590" s="1"/>
  <c r="N23" i="589"/>
  <c r="O23" i="589" s="1"/>
  <c r="P23" i="589" s="1"/>
  <c r="N23" i="617"/>
  <c r="O23" i="617" s="1"/>
  <c r="P23" i="617" s="1"/>
  <c r="N23" i="432"/>
  <c r="O23" i="432" s="1"/>
  <c r="P23" i="432" s="1"/>
  <c r="N18" i="619"/>
  <c r="O18" i="619" s="1"/>
  <c r="P18" i="619" s="1"/>
  <c r="N20" i="617"/>
  <c r="O20" i="617" s="1"/>
  <c r="P20" i="617" s="1"/>
  <c r="N21" i="204"/>
  <c r="O21" i="204" s="1"/>
  <c r="P21" i="204" s="1"/>
  <c r="O26" i="219"/>
  <c r="P26" i="219" s="1"/>
  <c r="N21" i="41"/>
  <c r="N18" i="51"/>
  <c r="O18" i="51" s="1"/>
  <c r="P18" i="51" s="1"/>
  <c r="N24" i="41"/>
  <c r="N18" i="588"/>
  <c r="O18" i="588" s="1"/>
  <c r="P18" i="588" s="1"/>
  <c r="N20" i="189"/>
  <c r="O20" i="189" s="1"/>
  <c r="P20" i="189" s="1"/>
  <c r="M33" i="608"/>
  <c r="N20" i="184"/>
  <c r="O20" i="184" s="1"/>
  <c r="P20" i="184" s="1"/>
  <c r="N27" i="219"/>
  <c r="O27" i="219" s="1"/>
  <c r="P27" i="219" s="1"/>
  <c r="N18" i="511"/>
  <c r="O18" i="511" s="1"/>
  <c r="P18" i="511" s="1"/>
  <c r="M31" i="511" s="1"/>
  <c r="N31" i="511" s="1"/>
  <c r="N19" i="338"/>
  <c r="O19" i="338" s="1"/>
  <c r="P19" i="338" s="1"/>
  <c r="M34" i="176"/>
  <c r="N18" i="370"/>
  <c r="O18" i="370" s="1"/>
  <c r="P18" i="370" s="1"/>
  <c r="N18" i="338"/>
  <c r="O18" i="338" s="1"/>
  <c r="P18" i="338" s="1"/>
  <c r="N22" i="219"/>
  <c r="O22" i="219" s="1"/>
  <c r="P22" i="219" s="1"/>
  <c r="N18" i="232"/>
  <c r="N21" i="51"/>
  <c r="O21" i="51" s="1"/>
  <c r="P21" i="51" s="1"/>
  <c r="N18" i="466"/>
  <c r="O18" i="466" s="1"/>
  <c r="P18" i="466" s="1"/>
  <c r="M30" i="466" s="1"/>
  <c r="N30" i="466" s="1"/>
  <c r="N18" i="499"/>
  <c r="O18" i="499" s="1"/>
  <c r="P18" i="499" s="1"/>
  <c r="M29" i="499" s="1"/>
  <c r="N24" i="145"/>
  <c r="O24" i="145" s="1"/>
  <c r="P24" i="145" s="1"/>
  <c r="N21" i="219"/>
  <c r="O21" i="219" s="1"/>
  <c r="P21" i="219" s="1"/>
  <c r="N18" i="116"/>
  <c r="N19" i="551"/>
  <c r="O19" i="551" s="1"/>
  <c r="P19" i="551" s="1"/>
  <c r="M35" i="551" s="1"/>
  <c r="N35" i="551" s="1"/>
  <c r="M33" i="527"/>
  <c r="N33" i="527" s="1"/>
  <c r="N19" i="67"/>
  <c r="O19" i="67" s="1"/>
  <c r="P19" i="67" s="1"/>
  <c r="N19" i="478"/>
  <c r="O19" i="478" s="1"/>
  <c r="P19" i="478" s="1"/>
  <c r="M30" i="478" s="1"/>
  <c r="N30" i="478" s="1"/>
  <c r="N18" i="174"/>
  <c r="O18" i="174" s="1"/>
  <c r="P18" i="174" s="1"/>
  <c r="M31" i="331"/>
  <c r="N31" i="331" s="1"/>
  <c r="M36" i="543"/>
  <c r="N36" i="543" s="1"/>
  <c r="R21" i="409"/>
  <c r="M34" i="477"/>
  <c r="N34" i="477" s="1"/>
  <c r="DA379" i="7"/>
  <c r="R18" i="366"/>
  <c r="M31" i="424"/>
  <c r="N31" i="424" s="1"/>
  <c r="N19" i="174"/>
  <c r="O19" i="174" s="1"/>
  <c r="P19" i="174" s="1"/>
  <c r="N18" i="409"/>
  <c r="N18" i="380"/>
  <c r="N18" i="64"/>
  <c r="O18" i="64" s="1"/>
  <c r="P18" i="64" s="1"/>
  <c r="N20" i="182"/>
  <c r="O20" i="182" s="1"/>
  <c r="P20" i="182" s="1"/>
  <c r="N25" i="139"/>
  <c r="N19" i="182"/>
  <c r="O19" i="182" s="1"/>
  <c r="P19" i="182" s="1"/>
  <c r="N18" i="332"/>
  <c r="N18" i="145"/>
  <c r="N19" i="184"/>
  <c r="N18" i="41"/>
  <c r="O18" i="41" s="1"/>
  <c r="P18" i="41" s="1"/>
  <c r="N18" i="84"/>
  <c r="M31" i="76"/>
  <c r="H220" i="7"/>
  <c r="DA220" i="7" s="1"/>
  <c r="N20" i="185"/>
  <c r="O20" i="185" s="1"/>
  <c r="P20" i="185" s="1"/>
  <c r="N19" i="222"/>
  <c r="O19" i="222" s="1"/>
  <c r="P19" i="222" s="1"/>
  <c r="N18" i="66"/>
  <c r="N20" i="222"/>
  <c r="O20" i="222" s="1"/>
  <c r="P20" i="222" s="1"/>
  <c r="N23" i="124" l="1"/>
  <c r="O23" i="124" s="1"/>
  <c r="P23" i="124" s="1"/>
  <c r="N19" i="124"/>
  <c r="O19" i="124" s="1"/>
  <c r="P19" i="124" s="1"/>
  <c r="M33" i="590"/>
  <c r="N33" i="590" s="1"/>
  <c r="M30" i="588"/>
  <c r="N20" i="124"/>
  <c r="O20" i="124" s="1"/>
  <c r="P20" i="124" s="1"/>
  <c r="N22" i="124"/>
  <c r="O22" i="124" s="1"/>
  <c r="P22" i="124" s="1"/>
  <c r="M35" i="589"/>
  <c r="N35" i="589" s="1"/>
  <c r="M34" i="204"/>
  <c r="N34" i="204" s="1"/>
  <c r="M39" i="617"/>
  <c r="N39" i="617" s="1"/>
  <c r="M36" i="619"/>
  <c r="N36" i="619" s="1"/>
  <c r="M37" i="621"/>
  <c r="N37" i="621" s="1"/>
  <c r="M37" i="618"/>
  <c r="N37" i="618" s="1"/>
  <c r="M34" i="603"/>
  <c r="N34" i="603" s="1"/>
  <c r="M36" i="370"/>
  <c r="N36" i="370" s="1"/>
  <c r="M30" i="338"/>
  <c r="N30" i="338" s="1"/>
  <c r="M38" i="594"/>
  <c r="M36" i="537"/>
  <c r="M30" i="494"/>
  <c r="M37" i="270"/>
  <c r="N37" i="270" s="1"/>
  <c r="O18" i="232"/>
  <c r="P18" i="232" s="1"/>
  <c r="M29" i="232" s="1"/>
  <c r="N29" i="232" s="1"/>
  <c r="S18" i="232"/>
  <c r="R18" i="232"/>
  <c r="M37" i="581"/>
  <c r="M43" i="219"/>
  <c r="M29" i="236"/>
  <c r="N29" i="236" s="1"/>
  <c r="M31" i="573"/>
  <c r="M39" i="486"/>
  <c r="N39" i="486" s="1"/>
  <c r="M38" i="585"/>
  <c r="M39" i="366"/>
  <c r="M36" i="556"/>
  <c r="M38" i="441"/>
  <c r="M36" i="579"/>
  <c r="M34" i="49"/>
  <c r="M38" i="342"/>
  <c r="M46" i="52"/>
  <c r="N37" i="339"/>
  <c r="M39" i="399"/>
  <c r="N39" i="399" s="1"/>
  <c r="M31" i="401"/>
  <c r="N31" i="401" s="1"/>
  <c r="S18" i="409"/>
  <c r="O18" i="409"/>
  <c r="P18" i="409" s="1"/>
  <c r="M30" i="409" s="1"/>
  <c r="N30" i="409" s="1"/>
  <c r="R18" i="409"/>
  <c r="M35" i="44"/>
  <c r="O18" i="380"/>
  <c r="P18" i="380" s="1"/>
  <c r="M44" i="380" s="1"/>
  <c r="S18" i="380"/>
  <c r="R18" i="380"/>
  <c r="M32" i="102"/>
  <c r="S18" i="102"/>
  <c r="R18" i="102"/>
  <c r="M35" i="78"/>
  <c r="M27" i="222"/>
  <c r="N27" i="222" s="1"/>
  <c r="M39" i="96" l="1"/>
  <c r="M33" i="436"/>
  <c r="N33" i="436" s="1"/>
  <c r="N44" i="380"/>
  <c r="M29" i="124"/>
  <c r="N39" i="366"/>
  <c r="S40" i="94"/>
  <c r="N43" i="219"/>
  <c r="F11" i="219"/>
  <c r="L44" i="219" l="1"/>
  <c r="L45" i="219" s="1"/>
  <c r="L46" i="219" l="1"/>
  <c r="L47" i="219" s="1"/>
  <c r="I18" i="157" l="1"/>
  <c r="H18" i="157"/>
  <c r="D18" i="157"/>
  <c r="I18" i="176"/>
  <c r="F11" i="217" l="1"/>
  <c r="L32" i="217" l="1"/>
  <c r="L33" i="217" s="1"/>
  <c r="L34" i="217" s="1"/>
  <c r="M32" i="217"/>
  <c r="N32" i="217" l="1"/>
  <c r="L35" i="217"/>
  <c r="L36" i="217" s="1"/>
  <c r="K18" i="216" l="1"/>
  <c r="I18" i="216"/>
  <c r="H18" i="216"/>
  <c r="D18" i="216"/>
  <c r="L18" i="216" l="1"/>
  <c r="O18" i="216"/>
  <c r="P18" i="216" s="1"/>
  <c r="F11" i="216"/>
  <c r="K18" i="50"/>
  <c r="H18" i="50"/>
  <c r="D18" i="50"/>
  <c r="L29" i="216" l="1"/>
  <c r="L30" i="216" s="1"/>
  <c r="L31" i="216" s="1"/>
  <c r="M29" i="216"/>
  <c r="L18" i="50"/>
  <c r="L31" i="50" s="1"/>
  <c r="M31" i="50" l="1"/>
  <c r="N31" i="50" s="1"/>
  <c r="N29" i="216"/>
  <c r="L32" i="216"/>
  <c r="L33" i="216" s="1"/>
  <c r="I18" i="215"/>
  <c r="H18" i="215"/>
  <c r="F11" i="215"/>
  <c r="L18" i="215" l="1"/>
  <c r="K18" i="97"/>
  <c r="O18" i="97" s="1"/>
  <c r="P18" i="97" s="1"/>
  <c r="M32" i="97" s="1"/>
  <c r="D18" i="97"/>
  <c r="K18" i="214" l="1"/>
  <c r="I18" i="214"/>
  <c r="H18" i="214"/>
  <c r="D18" i="214"/>
  <c r="F11" i="214"/>
  <c r="L18" i="214" l="1"/>
  <c r="L30" i="214" s="1"/>
  <c r="L31" i="214" s="1"/>
  <c r="L32" i="214" s="1"/>
  <c r="O18" i="214"/>
  <c r="P18" i="214" s="1"/>
  <c r="M30" i="214" l="1"/>
  <c r="N30" i="214" s="1"/>
  <c r="L33" i="214"/>
  <c r="L34" i="214" s="1"/>
  <c r="BX361" i="7" l="1"/>
  <c r="BX23" i="7"/>
  <c r="BX440" i="7"/>
  <c r="BX264" i="7"/>
  <c r="BX11" i="7"/>
  <c r="BX257" i="7"/>
  <c r="BX277" i="7"/>
  <c r="BX22" i="7"/>
  <c r="BX90" i="7"/>
  <c r="BX154" i="7"/>
  <c r="BX138" i="7"/>
  <c r="BX396" i="7"/>
  <c r="BX258" i="7"/>
  <c r="BX485" i="7"/>
  <c r="K21" i="136" s="1"/>
  <c r="L21" i="136" s="1"/>
  <c r="BX390" i="7"/>
  <c r="BX13" i="7"/>
  <c r="BX483" i="7"/>
  <c r="BX187" i="7"/>
  <c r="K24" i="136" s="1"/>
  <c r="L24" i="136" s="1"/>
  <c r="BX467" i="7"/>
  <c r="BX231" i="7"/>
  <c r="K22" i="136" l="1"/>
  <c r="L22" i="136" s="1"/>
  <c r="K26" i="136"/>
  <c r="L26" i="136" s="1"/>
  <c r="K20" i="136"/>
  <c r="L20" i="136" s="1"/>
  <c r="K25" i="136"/>
  <c r="L25" i="136" s="1"/>
  <c r="K19" i="136"/>
  <c r="L19" i="136" s="1"/>
  <c r="K23" i="136"/>
  <c r="L23" i="136" s="1"/>
  <c r="K18" i="136"/>
  <c r="L20" i="215"/>
  <c r="L36" i="215" s="1"/>
  <c r="D18" i="75"/>
  <c r="K18" i="70"/>
  <c r="I18" i="70"/>
  <c r="H18" i="70"/>
  <c r="D18" i="70"/>
  <c r="L18" i="136" l="1"/>
  <c r="L36" i="136" s="1"/>
  <c r="O20" i="215"/>
  <c r="P20" i="215" s="1"/>
  <c r="L37" i="215"/>
  <c r="L38" i="215" s="1"/>
  <c r="L18" i="70"/>
  <c r="L28" i="70" s="1"/>
  <c r="O18" i="70"/>
  <c r="P18" i="70" s="1"/>
  <c r="M28" i="70" s="1"/>
  <c r="K20" i="179"/>
  <c r="L20" i="179" s="1"/>
  <c r="I20" i="179"/>
  <c r="H20" i="179"/>
  <c r="D20" i="179"/>
  <c r="M36" i="215" l="1"/>
  <c r="N36" i="215" s="1"/>
  <c r="L39" i="215"/>
  <c r="L40" i="215" s="1"/>
  <c r="K18" i="209"/>
  <c r="I18" i="209"/>
  <c r="H18" i="209"/>
  <c r="D18" i="209"/>
  <c r="F11" i="209"/>
  <c r="M30" i="81"/>
  <c r="L18" i="209" l="1"/>
  <c r="L29" i="209" s="1"/>
  <c r="L30" i="209" s="1"/>
  <c r="L31" i="209" s="1"/>
  <c r="O18" i="209"/>
  <c r="P18" i="209" s="1"/>
  <c r="M29" i="209" s="1"/>
  <c r="N29" i="209" l="1"/>
  <c r="L32" i="209"/>
  <c r="L33" i="209" s="1"/>
  <c r="K20" i="174" l="1"/>
  <c r="I20" i="174"/>
  <c r="H20" i="174"/>
  <c r="L20" i="174" l="1"/>
  <c r="L33" i="174" s="1"/>
  <c r="L35" i="174" s="1"/>
  <c r="O20" i="174"/>
  <c r="P20" i="174" s="1"/>
  <c r="M33" i="174" s="1"/>
  <c r="I18" i="65" l="1"/>
  <c r="H18" i="65"/>
  <c r="D18" i="65"/>
  <c r="K26" i="56" l="1"/>
  <c r="L26" i="56" s="1"/>
  <c r="I26" i="56"/>
  <c r="H26" i="56"/>
  <c r="K25" i="56"/>
  <c r="L25" i="56" s="1"/>
  <c r="I25" i="56"/>
  <c r="H25" i="56"/>
  <c r="K24" i="56"/>
  <c r="L24" i="56" s="1"/>
  <c r="I24" i="56"/>
  <c r="H24" i="56"/>
  <c r="D26" i="56"/>
  <c r="D25" i="56"/>
  <c r="D24" i="56"/>
  <c r="F11" i="204" l="1"/>
  <c r="L35" i="204" l="1"/>
  <c r="L36" i="204" s="1"/>
  <c r="L37" i="204" l="1"/>
  <c r="L38" i="204" s="1"/>
  <c r="K19" i="179" l="1"/>
  <c r="L19" i="179" s="1"/>
  <c r="I19" i="179"/>
  <c r="H19" i="179"/>
  <c r="D19" i="179"/>
  <c r="K18" i="179"/>
  <c r="I18" i="179" l="1"/>
  <c r="H18" i="179"/>
  <c r="I18" i="53" l="1"/>
  <c r="H18" i="53"/>
  <c r="I18" i="97"/>
  <c r="H18" i="97"/>
  <c r="I18" i="84"/>
  <c r="H18" i="84"/>
  <c r="I18" i="86"/>
  <c r="H18" i="86"/>
  <c r="I18" i="188"/>
  <c r="H18" i="188"/>
  <c r="I18" i="47"/>
  <c r="H18" i="47"/>
  <c r="I18" i="90"/>
  <c r="H18" i="90"/>
  <c r="I18" i="116"/>
  <c r="H18" i="116"/>
  <c r="I18" i="185"/>
  <c r="H18" i="185"/>
  <c r="I18" i="184"/>
  <c r="H18" i="184"/>
  <c r="I18" i="78"/>
  <c r="H18" i="78"/>
  <c r="I18" i="130"/>
  <c r="H18" i="130"/>
  <c r="I18" i="82" l="1"/>
  <c r="H18" i="82"/>
  <c r="I18" i="106"/>
  <c r="H18" i="106"/>
  <c r="I18" i="75"/>
  <c r="H18" i="75"/>
  <c r="I18" i="36"/>
  <c r="H18" i="36"/>
  <c r="I18" i="146"/>
  <c r="H18" i="146"/>
  <c r="I18" i="145" l="1"/>
  <c r="H18" i="145"/>
  <c r="I23" i="56"/>
  <c r="H23" i="56"/>
  <c r="I22" i="56"/>
  <c r="H22" i="56"/>
  <c r="I21" i="56"/>
  <c r="H21" i="56"/>
  <c r="I20" i="56"/>
  <c r="H20" i="56"/>
  <c r="I19" i="56"/>
  <c r="H19" i="56"/>
  <c r="I18" i="56"/>
  <c r="H18" i="56"/>
  <c r="I18" i="66"/>
  <c r="H18" i="66"/>
  <c r="I18" i="131"/>
  <c r="H18" i="131"/>
  <c r="I18" i="123"/>
  <c r="H18" i="123"/>
  <c r="I19" i="46"/>
  <c r="H19" i="46"/>
  <c r="I18" i="46"/>
  <c r="H18" i="46"/>
  <c r="I18" i="187"/>
  <c r="H18" i="187"/>
  <c r="K19" i="46" l="1"/>
  <c r="D19" i="46"/>
  <c r="L19" i="46" l="1"/>
  <c r="O19" i="46"/>
  <c r="P19" i="46" s="1"/>
  <c r="BS294" i="7" l="1"/>
  <c r="BS360" i="7"/>
  <c r="K19" i="45" l="1"/>
  <c r="I19" i="45"/>
  <c r="H19" i="45"/>
  <c r="D19" i="45"/>
  <c r="L19" i="45" l="1"/>
  <c r="O19" i="45"/>
  <c r="P19" i="45" s="1"/>
  <c r="M39" i="197" l="1"/>
  <c r="K27" i="197"/>
  <c r="L27" i="197" s="1"/>
  <c r="I27" i="197"/>
  <c r="H27" i="197"/>
  <c r="D27" i="197"/>
  <c r="K26" i="197"/>
  <c r="L26" i="197" s="1"/>
  <c r="I26" i="197"/>
  <c r="H26" i="197"/>
  <c r="D26" i="197"/>
  <c r="K25" i="197"/>
  <c r="L25" i="197" s="1"/>
  <c r="I25" i="197"/>
  <c r="H25" i="197"/>
  <c r="D25" i="197"/>
  <c r="K24" i="197"/>
  <c r="L24" i="197" s="1"/>
  <c r="I24" i="197"/>
  <c r="H24" i="197"/>
  <c r="D24" i="197"/>
  <c r="K23" i="197"/>
  <c r="L23" i="197" s="1"/>
  <c r="I23" i="197"/>
  <c r="H23" i="197"/>
  <c r="D23" i="197"/>
  <c r="K22" i="197"/>
  <c r="L22" i="197" s="1"/>
  <c r="I22" i="197"/>
  <c r="H22" i="197"/>
  <c r="D22" i="197"/>
  <c r="K21" i="197"/>
  <c r="L21" i="197" s="1"/>
  <c r="I21" i="197"/>
  <c r="H21" i="197"/>
  <c r="D21" i="197"/>
  <c r="K20" i="197"/>
  <c r="L20" i="197" s="1"/>
  <c r="I20" i="197"/>
  <c r="H20" i="197"/>
  <c r="D20" i="197"/>
  <c r="K19" i="197"/>
  <c r="L19" i="197" s="1"/>
  <c r="I19" i="197"/>
  <c r="H19" i="197"/>
  <c r="D19" i="197"/>
  <c r="K18" i="197"/>
  <c r="L18" i="197" s="1"/>
  <c r="I18" i="197"/>
  <c r="H18" i="197"/>
  <c r="D18" i="197"/>
  <c r="F11" i="197"/>
  <c r="L39" i="197" l="1"/>
  <c r="L40" i="197" s="1"/>
  <c r="L41" i="197" s="1"/>
  <c r="L42" i="197" l="1"/>
  <c r="L43" i="197" s="1"/>
  <c r="K18" i="46" l="1"/>
  <c r="D18" i="46"/>
  <c r="L18" i="46" l="1"/>
  <c r="O18" i="46"/>
  <c r="P18" i="46" s="1"/>
  <c r="M31" i="46" s="1"/>
  <c r="K18" i="47"/>
  <c r="L18" i="47" s="1"/>
  <c r="D18" i="47"/>
  <c r="K18" i="121" l="1"/>
  <c r="O18" i="121" s="1"/>
  <c r="P18" i="121" s="1"/>
  <c r="M28" i="121" s="1"/>
  <c r="D18" i="42" l="1"/>
  <c r="H18" i="42"/>
  <c r="I18" i="42"/>
  <c r="K18" i="42"/>
  <c r="L18" i="42" l="1"/>
  <c r="L40" i="42" s="1"/>
  <c r="L41" i="42" l="1"/>
  <c r="L42" i="42" s="1"/>
  <c r="L43" i="42" s="1"/>
  <c r="D18" i="145" l="1"/>
  <c r="K19" i="159" l="1"/>
  <c r="L19" i="159" s="1"/>
  <c r="I19" i="159"/>
  <c r="H19" i="159"/>
  <c r="D19" i="159"/>
  <c r="C18" i="189" l="1"/>
  <c r="N18" i="92"/>
  <c r="D18" i="189" l="1"/>
  <c r="N18" i="189"/>
  <c r="I18" i="92"/>
  <c r="H18" i="92"/>
  <c r="D18" i="92"/>
  <c r="L18" i="92"/>
  <c r="H18" i="189"/>
  <c r="I18" i="189"/>
  <c r="K18" i="189"/>
  <c r="L18" i="189" s="1"/>
  <c r="L34" i="189" s="1"/>
  <c r="O18" i="189" l="1"/>
  <c r="P18" i="189" s="1"/>
  <c r="M34" i="189" s="1"/>
  <c r="O18" i="92"/>
  <c r="P18" i="92" s="1"/>
  <c r="M36" i="92" s="1"/>
  <c r="L35" i="189"/>
  <c r="L36" i="189" s="1"/>
  <c r="N34" i="189" l="1"/>
  <c r="L37" i="189"/>
  <c r="L38" i="189" s="1"/>
  <c r="K19" i="188" l="1"/>
  <c r="L19" i="188" s="1"/>
  <c r="I19" i="188"/>
  <c r="H19" i="188"/>
  <c r="D19" i="188"/>
  <c r="K18" i="188"/>
  <c r="L18" i="188" s="1"/>
  <c r="D18" i="188"/>
  <c r="F11" i="188"/>
  <c r="L39" i="188" l="1"/>
  <c r="L40" i="188" s="1"/>
  <c r="L41" i="188" s="1"/>
  <c r="L42" i="188" l="1"/>
  <c r="L43" i="188" s="1"/>
  <c r="M39" i="187" l="1"/>
  <c r="K18" i="187"/>
  <c r="D18" i="187"/>
  <c r="F11" i="187"/>
  <c r="L18" i="187" l="1"/>
  <c r="L39" i="187" s="1"/>
  <c r="O18" i="187"/>
  <c r="P18" i="187" s="1"/>
  <c r="L40" i="187" l="1"/>
  <c r="L41" i="187" s="1"/>
  <c r="L42" i="187" l="1"/>
  <c r="L43" i="187" s="1"/>
  <c r="D18" i="184" l="1"/>
  <c r="F11" i="185" l="1"/>
  <c r="F11" i="184"/>
  <c r="L18" i="182" l="1"/>
  <c r="D18" i="182"/>
  <c r="F11" i="182"/>
  <c r="L33" i="182" l="1"/>
  <c r="M33" i="182" s="1"/>
  <c r="N33" i="182" s="1"/>
  <c r="L34" i="182" l="1"/>
  <c r="L35" i="182" s="1"/>
  <c r="L36" i="182" l="1"/>
  <c r="L37" i="182" s="1"/>
  <c r="M29" i="113" l="1"/>
  <c r="L31" i="181" l="1"/>
  <c r="N31" i="181" s="1"/>
  <c r="D18" i="181"/>
  <c r="L32" i="181" l="1"/>
  <c r="L33" i="181" s="1"/>
  <c r="L34" i="181" l="1"/>
  <c r="L35" i="181" s="1"/>
  <c r="K18" i="180" l="1"/>
  <c r="L18" i="180" s="1"/>
  <c r="I18" i="180"/>
  <c r="H18" i="180"/>
  <c r="D18" i="180"/>
  <c r="M29" i="180"/>
  <c r="F11" i="180"/>
  <c r="L29" i="180" l="1"/>
  <c r="L30" i="180" s="1"/>
  <c r="L31" i="180" s="1"/>
  <c r="L32" i="180" l="1"/>
  <c r="L33" i="180" s="1"/>
  <c r="M39" i="179" l="1"/>
  <c r="L18" i="179"/>
  <c r="D18" i="179"/>
  <c r="F11" i="179"/>
  <c r="L39" i="179" l="1"/>
  <c r="F11" i="51"/>
  <c r="L40" i="179" l="1"/>
  <c r="L41" i="179" s="1"/>
  <c r="L42" i="179" l="1"/>
  <c r="L43" i="179" s="1"/>
  <c r="L15" i="178" l="1"/>
  <c r="L14" i="178"/>
  <c r="M35" i="178"/>
  <c r="L35" i="178" l="1"/>
  <c r="L36" i="178" s="1"/>
  <c r="L37" i="178" s="1"/>
  <c r="L39" i="178" l="1"/>
  <c r="K23" i="56" l="1"/>
  <c r="L23" i="56" s="1"/>
  <c r="K22" i="56"/>
  <c r="L22" i="56" s="1"/>
  <c r="K21" i="56"/>
  <c r="L21" i="56" s="1"/>
  <c r="L18" i="176" l="1"/>
  <c r="L34" i="176" s="1"/>
  <c r="D18" i="176"/>
  <c r="F11" i="176"/>
  <c r="L35" i="176" l="1"/>
  <c r="L36" i="176" s="1"/>
  <c r="L37" i="176" l="1"/>
  <c r="L38" i="176" s="1"/>
  <c r="D20" i="174" l="1"/>
  <c r="D19" i="174"/>
  <c r="D18" i="174"/>
  <c r="F11" i="174"/>
  <c r="L36" i="174" l="1"/>
  <c r="L37" i="174" l="1"/>
  <c r="L34" i="174"/>
  <c r="D19" i="74" l="1"/>
  <c r="M39" i="171" l="1"/>
  <c r="K18" i="171"/>
  <c r="L18" i="171" s="1"/>
  <c r="L39" i="171" s="1"/>
  <c r="I18" i="171"/>
  <c r="H18" i="171"/>
  <c r="D18" i="171"/>
  <c r="F11" i="171"/>
  <c r="L40" i="171" l="1"/>
  <c r="L41" i="171" s="1"/>
  <c r="L42" i="171" l="1"/>
  <c r="L43" i="171" s="1"/>
  <c r="D18" i="169" l="1"/>
  <c r="F11" i="169"/>
  <c r="L35" i="169" l="1"/>
  <c r="L36" i="169" l="1"/>
  <c r="L37" i="169" s="1"/>
  <c r="L38" i="169" l="1"/>
  <c r="L39" i="169" s="1"/>
  <c r="I18" i="120"/>
  <c r="H18" i="120"/>
  <c r="D18" i="56" l="1"/>
  <c r="I18" i="121" l="1"/>
  <c r="H18" i="121"/>
  <c r="D22" i="73" l="1"/>
  <c r="D21" i="73"/>
  <c r="L29" i="164" l="1"/>
  <c r="L31" i="164" s="1"/>
  <c r="F11" i="164"/>
  <c r="L32" i="164" l="1"/>
  <c r="L33" i="164" l="1"/>
  <c r="K18" i="159" l="1"/>
  <c r="M39" i="159" l="1"/>
  <c r="L18" i="159"/>
  <c r="L39" i="159" s="1"/>
  <c r="L40" i="159" s="1"/>
  <c r="L41" i="159" s="1"/>
  <c r="L42" i="159" s="1"/>
  <c r="L43" i="159" s="1"/>
  <c r="I18" i="159"/>
  <c r="H18" i="159"/>
  <c r="D18" i="159"/>
  <c r="F11" i="159"/>
  <c r="M30" i="157" l="1"/>
  <c r="K18" i="157"/>
  <c r="L18" i="157" s="1"/>
  <c r="F11" i="157"/>
  <c r="L30" i="157" l="1"/>
  <c r="L31" i="157" s="1"/>
  <c r="L32" i="157" s="1"/>
  <c r="L33" i="157" s="1"/>
  <c r="L34" i="157" s="1"/>
  <c r="H20" i="7" l="1"/>
  <c r="DA20" i="7" s="1"/>
  <c r="K18" i="146" l="1"/>
  <c r="O18" i="146" s="1"/>
  <c r="P18" i="146" s="1"/>
  <c r="O18" i="145"/>
  <c r="P18" i="145" s="1"/>
  <c r="K18" i="56"/>
  <c r="K18" i="84"/>
  <c r="O18" i="84" s="1"/>
  <c r="P18" i="84" s="1"/>
  <c r="M35" i="84" s="1"/>
  <c r="M33" i="64"/>
  <c r="K18" i="86"/>
  <c r="O18" i="86" s="1"/>
  <c r="P18" i="86" s="1"/>
  <c r="K21" i="41" l="1"/>
  <c r="L21" i="41" s="1"/>
  <c r="K24" i="41"/>
  <c r="K18" i="387"/>
  <c r="Q36" i="41"/>
  <c r="K20" i="56"/>
  <c r="K19" i="56"/>
  <c r="L19" i="56" s="1"/>
  <c r="O21" i="41" l="1"/>
  <c r="P21" i="41" s="1"/>
  <c r="L24" i="41"/>
  <c r="O24" i="41"/>
  <c r="P24" i="41" s="1"/>
  <c r="L18" i="387"/>
  <c r="M42" i="94"/>
  <c r="L43" i="94"/>
  <c r="D23" i="56"/>
  <c r="M36" i="41" l="1"/>
  <c r="L44" i="387"/>
  <c r="M44" i="387" s="1"/>
  <c r="L18" i="97"/>
  <c r="L32" i="97" s="1"/>
  <c r="I18" i="150"/>
  <c r="H18" i="150"/>
  <c r="D18" i="150"/>
  <c r="F11" i="150"/>
  <c r="K18" i="150" l="1"/>
  <c r="L18" i="150" l="1"/>
  <c r="L34" i="150" s="1"/>
  <c r="O18" i="150"/>
  <c r="P18" i="150" s="1"/>
  <c r="M34" i="150" s="1"/>
  <c r="L18" i="146" l="1"/>
  <c r="L31" i="146" s="1"/>
  <c r="L32" i="146" s="1"/>
  <c r="L33" i="146" s="1"/>
  <c r="L34" i="146" s="1"/>
  <c r="L35" i="146" s="1"/>
  <c r="D18" i="146"/>
  <c r="F11" i="146"/>
  <c r="F11" i="145" l="1"/>
  <c r="L18" i="56" l="1"/>
  <c r="D22" i="56"/>
  <c r="D21" i="56"/>
  <c r="L20" i="56"/>
  <c r="D20" i="56"/>
  <c r="F11" i="123"/>
  <c r="Y44" i="139" l="1"/>
  <c r="K21" i="139" l="1"/>
  <c r="L21" i="139" s="1"/>
  <c r="K25" i="139"/>
  <c r="I18" i="139"/>
  <c r="H18" i="139"/>
  <c r="D18" i="139"/>
  <c r="F11" i="139"/>
  <c r="L25" i="139" l="1"/>
  <c r="O25" i="139"/>
  <c r="P25" i="139" s="1"/>
  <c r="O21" i="139"/>
  <c r="P21" i="139" s="1"/>
  <c r="L18" i="139"/>
  <c r="O18" i="139"/>
  <c r="P18" i="139" s="1"/>
  <c r="L39" i="139" l="1"/>
  <c r="L40" i="139" s="1"/>
  <c r="L41" i="139" s="1"/>
  <c r="L42" i="139" s="1"/>
  <c r="L43" i="139" s="1"/>
  <c r="M39" i="139"/>
  <c r="N39" i="139" l="1"/>
  <c r="F11" i="136"/>
  <c r="O18" i="131" l="1"/>
  <c r="P18" i="131" s="1"/>
  <c r="M31" i="131" s="1"/>
  <c r="F11" i="131"/>
  <c r="L18" i="131" l="1"/>
  <c r="D18" i="131"/>
  <c r="L31" i="131" l="1"/>
  <c r="N31" i="131" s="1"/>
  <c r="K18" i="130"/>
  <c r="D18" i="130"/>
  <c r="F11" i="130"/>
  <c r="F11" i="124"/>
  <c r="M39" i="123"/>
  <c r="K18" i="123"/>
  <c r="L18" i="123" s="1"/>
  <c r="L39" i="123" s="1"/>
  <c r="L40" i="123" s="1"/>
  <c r="L41" i="123" s="1"/>
  <c r="L42" i="123" s="1"/>
  <c r="L43" i="123" s="1"/>
  <c r="D18" i="123"/>
  <c r="L18" i="130" l="1"/>
  <c r="L31" i="130" s="1"/>
  <c r="L32" i="130" s="1"/>
  <c r="L33" i="130" s="1"/>
  <c r="L34" i="130" s="1"/>
  <c r="L35" i="130" s="1"/>
  <c r="O18" i="130"/>
  <c r="P18" i="130" s="1"/>
  <c r="M31" i="130" s="1"/>
  <c r="L32" i="131"/>
  <c r="L33" i="131" s="1"/>
  <c r="L34" i="131" s="1"/>
  <c r="L35" i="131" s="1"/>
  <c r="L18" i="121" l="1"/>
  <c r="L28" i="121" s="1"/>
  <c r="N28" i="121" s="1"/>
  <c r="D18" i="121"/>
  <c r="F11" i="121"/>
  <c r="F11" i="120"/>
  <c r="L18" i="120" l="1"/>
  <c r="L34" i="120" s="1"/>
  <c r="M34" i="120"/>
  <c r="L29" i="121"/>
  <c r="L30" i="121" s="1"/>
  <c r="K18" i="119"/>
  <c r="I18" i="119"/>
  <c r="H18" i="119"/>
  <c r="D18" i="119"/>
  <c r="F11" i="119"/>
  <c r="L18" i="119" l="1"/>
  <c r="L31" i="119" s="1"/>
  <c r="L32" i="119" s="1"/>
  <c r="L33" i="119" s="1"/>
  <c r="L34" i="119" s="1"/>
  <c r="L35" i="119" s="1"/>
  <c r="O18" i="119"/>
  <c r="P18" i="119" s="1"/>
  <c r="M31" i="119" s="1"/>
  <c r="L31" i="121"/>
  <c r="L32" i="121" s="1"/>
  <c r="L35" i="120"/>
  <c r="L36" i="120" s="1"/>
  <c r="L37" i="120" s="1"/>
  <c r="L38" i="120" s="1"/>
  <c r="F11" i="117" l="1"/>
  <c r="K18" i="116"/>
  <c r="D18" i="116"/>
  <c r="F11" i="116"/>
  <c r="L18" i="116" l="1"/>
  <c r="L29" i="116" s="1"/>
  <c r="L30" i="116" s="1"/>
  <c r="L31" i="116" s="1"/>
  <c r="L32" i="116" s="1"/>
  <c r="L33" i="116" s="1"/>
  <c r="O18" i="116"/>
  <c r="P18" i="116" s="1"/>
  <c r="L29" i="117"/>
  <c r="L30" i="117" s="1"/>
  <c r="L31" i="117" s="1"/>
  <c r="L32" i="117" s="1"/>
  <c r="L33" i="117" s="1"/>
  <c r="M29" i="117" l="1"/>
  <c r="N29" i="117" s="1"/>
  <c r="M29" i="116"/>
  <c r="N29" i="116" s="1"/>
  <c r="N46" i="52"/>
  <c r="F11" i="113"/>
  <c r="L47" i="52" l="1"/>
  <c r="L48" i="52" l="1"/>
  <c r="L49" i="52" s="1"/>
  <c r="L50" i="52" s="1"/>
  <c r="L30" i="108" l="1"/>
  <c r="L31" i="108" s="1"/>
  <c r="L32" i="108" s="1"/>
  <c r="L33" i="108" s="1"/>
  <c r="L34" i="108" s="1"/>
  <c r="D18" i="108"/>
  <c r="F11" i="108"/>
  <c r="K18" i="106" l="1"/>
  <c r="D18" i="106"/>
  <c r="F11" i="106"/>
  <c r="L18" i="106" l="1"/>
  <c r="L28" i="106" s="1"/>
  <c r="O18" i="106"/>
  <c r="P18" i="106" s="1"/>
  <c r="M28" i="106" s="1"/>
  <c r="L18" i="103"/>
  <c r="L28" i="103" s="1"/>
  <c r="I18" i="103"/>
  <c r="H18" i="103"/>
  <c r="D18" i="103"/>
  <c r="F11" i="103"/>
  <c r="L29" i="106" l="1"/>
  <c r="L30" i="106" s="1"/>
  <c r="L31" i="106" s="1"/>
  <c r="L32" i="106" s="1"/>
  <c r="N28" i="106"/>
  <c r="L30" i="103"/>
  <c r="L31" i="103" s="1"/>
  <c r="L32" i="103" s="1"/>
  <c r="N32" i="102"/>
  <c r="F11" i="102"/>
  <c r="L33" i="102" l="1"/>
  <c r="L34" i="102" s="1"/>
  <c r="L35" i="102" s="1"/>
  <c r="L36" i="102" s="1"/>
  <c r="F11" i="97" l="1"/>
  <c r="F11" i="96"/>
  <c r="L33" i="97" l="1"/>
  <c r="L34" i="97" s="1"/>
  <c r="L35" i="97" s="1"/>
  <c r="L36" i="97" s="1"/>
  <c r="N32" i="97"/>
  <c r="N39" i="96"/>
  <c r="L41" i="96" l="1"/>
  <c r="L42" i="96" s="1"/>
  <c r="L43" i="96" s="1"/>
  <c r="F11" i="94" l="1"/>
  <c r="K18" i="65" l="1"/>
  <c r="L18" i="145"/>
  <c r="L32" i="145" s="1"/>
  <c r="L33" i="145" l="1"/>
  <c r="L34" i="145" s="1"/>
  <c r="L35" i="145" s="1"/>
  <c r="L36" i="145" s="1"/>
  <c r="M32" i="145"/>
  <c r="L18" i="65"/>
  <c r="O18" i="65"/>
  <c r="P18" i="65" s="1"/>
  <c r="M29" i="65" s="1"/>
  <c r="L44" i="94"/>
  <c r="L45" i="94" l="1"/>
  <c r="L46" i="94" s="1"/>
  <c r="F11" i="92"/>
  <c r="L36" i="92" l="1"/>
  <c r="N36" i="92" s="1"/>
  <c r="L37" i="92" l="1"/>
  <c r="L38" i="92" s="1"/>
  <c r="L39" i="92" s="1"/>
  <c r="L40" i="92" s="1"/>
  <c r="K18" i="90" l="1"/>
  <c r="F11" i="90"/>
  <c r="L18" i="90" l="1"/>
  <c r="O18" i="90"/>
  <c r="P18" i="90" s="1"/>
  <c r="L18" i="86"/>
  <c r="L27" i="86" s="1"/>
  <c r="M27" i="86" s="1"/>
  <c r="D18" i="86"/>
  <c r="F11" i="86"/>
  <c r="L18" i="84"/>
  <c r="L35" i="84" s="1"/>
  <c r="D18" i="84"/>
  <c r="F11" i="84"/>
  <c r="F11" i="83"/>
  <c r="L36" i="84" l="1"/>
  <c r="L37" i="84" s="1"/>
  <c r="L38" i="84" s="1"/>
  <c r="L39" i="84" s="1"/>
  <c r="N35" i="84"/>
  <c r="L33" i="90"/>
  <c r="L34" i="90" s="1"/>
  <c r="L35" i="90" s="1"/>
  <c r="L36" i="90" s="1"/>
  <c r="L37" i="90" s="1"/>
  <c r="M33" i="90"/>
  <c r="L28" i="86"/>
  <c r="L29" i="86" s="1"/>
  <c r="L30" i="86" s="1"/>
  <c r="L31" i="86" s="1"/>
  <c r="N27" i="86"/>
  <c r="K18" i="82"/>
  <c r="L18" i="82" s="1"/>
  <c r="L30" i="82" s="1"/>
  <c r="L32" i="82" s="1"/>
  <c r="L33" i="82" s="1"/>
  <c r="L34" i="82" s="1"/>
  <c r="M30" i="82"/>
  <c r="D18" i="82"/>
  <c r="F11" i="82"/>
  <c r="N33" i="90" l="1"/>
  <c r="L18" i="78"/>
  <c r="D18" i="78"/>
  <c r="F11" i="78"/>
  <c r="F11" i="77"/>
  <c r="F11" i="76"/>
  <c r="K18" i="75"/>
  <c r="F11" i="75"/>
  <c r="L39" i="74"/>
  <c r="D18" i="74"/>
  <c r="F11" i="74"/>
  <c r="D20" i="73"/>
  <c r="D19" i="73"/>
  <c r="D18" i="73"/>
  <c r="F11" i="73"/>
  <c r="N197" i="7"/>
  <c r="N1" i="7"/>
  <c r="F11" i="72"/>
  <c r="K21" i="72" l="1"/>
  <c r="L21" i="72" s="1"/>
  <c r="K20" i="72"/>
  <c r="L20" i="72" s="1"/>
  <c r="K22" i="72"/>
  <c r="L22" i="72" s="1"/>
  <c r="L18" i="75"/>
  <c r="L37" i="75" s="1"/>
  <c r="M37" i="75"/>
  <c r="L40" i="74"/>
  <c r="L41" i="74" s="1"/>
  <c r="L42" i="74" s="1"/>
  <c r="L43" i="74" s="1"/>
  <c r="L38" i="73"/>
  <c r="L39" i="73" s="1"/>
  <c r="L40" i="73" s="1"/>
  <c r="L41" i="73" s="1"/>
  <c r="L42" i="73" s="1"/>
  <c r="L35" i="78"/>
  <c r="L38" i="75" l="1"/>
  <c r="L39" i="75" s="1"/>
  <c r="L40" i="75" s="1"/>
  <c r="L41" i="75" s="1"/>
  <c r="L32" i="76"/>
  <c r="L33" i="76" s="1"/>
  <c r="L34" i="76" s="1"/>
  <c r="L35" i="76" s="1"/>
  <c r="N31" i="76"/>
  <c r="L36" i="78"/>
  <c r="L37" i="78" s="1"/>
  <c r="L38" i="78" s="1"/>
  <c r="L39" i="78" s="1"/>
  <c r="N35" i="78"/>
  <c r="L45" i="72" l="1"/>
  <c r="L47" i="72" s="1"/>
  <c r="L48" i="72" s="1"/>
  <c r="L49" i="72" s="1"/>
  <c r="M45" i="72"/>
  <c r="L30" i="68"/>
  <c r="N30" i="68" s="1"/>
  <c r="F11" i="68"/>
  <c r="L29" i="70" l="1"/>
  <c r="L30" i="70" s="1"/>
  <c r="L31" i="70" s="1"/>
  <c r="L32" i="70" s="1"/>
  <c r="N28" i="70"/>
  <c r="L31" i="68"/>
  <c r="L32" i="68" s="1"/>
  <c r="L33" i="68" s="1"/>
  <c r="F11" i="67"/>
  <c r="L34" i="68" l="1"/>
  <c r="L33" i="67"/>
  <c r="M33" i="67" s="1"/>
  <c r="K18" i="66"/>
  <c r="D18" i="66"/>
  <c r="F11" i="66"/>
  <c r="L29" i="65"/>
  <c r="N29" i="65" s="1"/>
  <c r="F11" i="65"/>
  <c r="L18" i="66" l="1"/>
  <c r="L30" i="66" s="1"/>
  <c r="L31" i="66" s="1"/>
  <c r="L32" i="66" s="1"/>
  <c r="L33" i="66" s="1"/>
  <c r="L34" i="66" s="1"/>
  <c r="O18" i="66"/>
  <c r="P18" i="66" s="1"/>
  <c r="M30" i="66" s="1"/>
  <c r="L34" i="67"/>
  <c r="L35" i="67" s="1"/>
  <c r="L36" i="67" s="1"/>
  <c r="L37" i="67" s="1"/>
  <c r="N33" i="67"/>
  <c r="L30" i="65"/>
  <c r="L31" i="65" s="1"/>
  <c r="F11" i="64"/>
  <c r="N30" i="66" l="1"/>
  <c r="L33" i="64"/>
  <c r="L32" i="65"/>
  <c r="L33" i="65" s="1"/>
  <c r="L34" i="64" l="1"/>
  <c r="L35" i="64" s="1"/>
  <c r="L36" i="64" s="1"/>
  <c r="L37" i="64" s="1"/>
  <c r="N33" i="64"/>
  <c r="D19" i="56"/>
  <c r="F11" i="56"/>
  <c r="K18" i="53" l="1"/>
  <c r="D18" i="53"/>
  <c r="F11" i="53"/>
  <c r="L18" i="53" l="1"/>
  <c r="L30" i="53" s="1"/>
  <c r="L31" i="53" s="1"/>
  <c r="L32" i="53" s="1"/>
  <c r="L33" i="53" s="1"/>
  <c r="L34" i="53" s="1"/>
  <c r="M30" i="53"/>
  <c r="F11" i="50" l="1"/>
  <c r="F11" i="49"/>
  <c r="M39" i="47"/>
  <c r="L39" i="47"/>
  <c r="F11" i="47"/>
  <c r="F11" i="46"/>
  <c r="M39" i="45"/>
  <c r="K18" i="45"/>
  <c r="I18" i="45"/>
  <c r="H18" i="45"/>
  <c r="D18" i="45"/>
  <c r="F11" i="45"/>
  <c r="F11" i="44"/>
  <c r="L37" i="51" l="1"/>
  <c r="L18" i="45"/>
  <c r="L39" i="45" s="1"/>
  <c r="L40" i="45" s="1"/>
  <c r="L41" i="45" s="1"/>
  <c r="L42" i="45" s="1"/>
  <c r="L43" i="45" s="1"/>
  <c r="O18" i="45"/>
  <c r="P18" i="45" s="1"/>
  <c r="L40" i="47"/>
  <c r="L41" i="47" s="1"/>
  <c r="L42" i="47" s="1"/>
  <c r="L43" i="47" s="1"/>
  <c r="L32" i="50"/>
  <c r="L33" i="50" s="1"/>
  <c r="L31" i="46"/>
  <c r="F11" i="42"/>
  <c r="F11" i="41"/>
  <c r="L34" i="50" l="1"/>
  <c r="L35" i="50" s="1"/>
  <c r="M37" i="51"/>
  <c r="L36" i="44"/>
  <c r="L37" i="44" s="1"/>
  <c r="L38" i="44" s="1"/>
  <c r="L39" i="44" s="1"/>
  <c r="N35" i="44"/>
  <c r="L32" i="46"/>
  <c r="L33" i="46" s="1"/>
  <c r="L34" i="46" s="1"/>
  <c r="L35" i="46" s="1"/>
  <c r="N31" i="46"/>
  <c r="L35" i="49"/>
  <c r="L36" i="49" s="1"/>
  <c r="L37" i="49" s="1"/>
  <c r="L38" i="49" s="1"/>
  <c r="L36" i="41"/>
  <c r="L44" i="42" l="1"/>
  <c r="L37" i="41"/>
  <c r="L38" i="41" s="1"/>
  <c r="L39" i="41" s="1"/>
  <c r="L40" i="41" s="1"/>
  <c r="N36" i="41"/>
  <c r="K18" i="36" l="1"/>
  <c r="D18" i="36"/>
  <c r="F11" i="36"/>
  <c r="L18" i="36" l="1"/>
  <c r="L33" i="36" s="1"/>
  <c r="L34" i="36" s="1"/>
  <c r="L35" i="36" s="1"/>
  <c r="L36" i="36" s="1"/>
  <c r="L37" i="36" s="1"/>
  <c r="O18" i="36"/>
  <c r="P18" i="36" s="1"/>
  <c r="M33" i="36" s="1"/>
  <c r="L401" i="7" l="1"/>
  <c r="L30" i="81" s="1"/>
  <c r="N30" i="81" s="1"/>
  <c r="L31" i="81" l="1"/>
  <c r="L32" i="81" s="1"/>
  <c r="L33" i="81" s="1"/>
  <c r="L34" i="81" s="1"/>
  <c r="K18" i="432" l="1"/>
  <c r="L45" i="387"/>
  <c r="L46" i="387" s="1"/>
  <c r="L47" i="387" s="1"/>
  <c r="L48" i="387" s="1"/>
  <c r="K18" i="388"/>
  <c r="K19" i="185"/>
  <c r="L19" i="185" s="1"/>
  <c r="K19" i="184"/>
  <c r="BX190" i="7"/>
  <c r="K18" i="184"/>
  <c r="K18" i="185"/>
  <c r="M36" i="136" l="1"/>
  <c r="L34" i="550"/>
  <c r="L35" i="550" s="1"/>
  <c r="L36" i="550" s="1"/>
  <c r="L37" i="550" s="1"/>
  <c r="L38" i="550" s="1"/>
  <c r="L30" i="549"/>
  <c r="L31" i="549" s="1"/>
  <c r="L32" i="549" s="1"/>
  <c r="L33" i="549" s="1"/>
  <c r="L34" i="549" s="1"/>
  <c r="M30" i="549"/>
  <c r="L18" i="432"/>
  <c r="O18" i="432"/>
  <c r="P18" i="432" s="1"/>
  <c r="L39" i="441"/>
  <c r="L40" i="441" s="1"/>
  <c r="L41" i="441" s="1"/>
  <c r="L42" i="441" s="1"/>
  <c r="L18" i="400"/>
  <c r="L33" i="400" s="1"/>
  <c r="L31" i="442"/>
  <c r="L32" i="442" s="1"/>
  <c r="L33" i="442" s="1"/>
  <c r="L34" i="442" s="1"/>
  <c r="L35" i="442" s="1"/>
  <c r="L31" i="77"/>
  <c r="L32" i="391"/>
  <c r="L33" i="391" s="1"/>
  <c r="L34" i="391" s="1"/>
  <c r="L35" i="391" s="1"/>
  <c r="L36" i="391" s="1"/>
  <c r="N44" i="387"/>
  <c r="L18" i="388"/>
  <c r="L26" i="388" s="1"/>
  <c r="L27" i="388" s="1"/>
  <c r="L28" i="388" s="1"/>
  <c r="L29" i="388" s="1"/>
  <c r="L30" i="388" s="1"/>
  <c r="O19" i="185"/>
  <c r="P19" i="185" s="1"/>
  <c r="L40" i="83"/>
  <c r="L38" i="51"/>
  <c r="L39" i="51" s="1"/>
  <c r="L40" i="51" s="1"/>
  <c r="L41" i="51" s="1"/>
  <c r="L18" i="185"/>
  <c r="L39" i="185" s="1"/>
  <c r="O18" i="185"/>
  <c r="P18" i="185" s="1"/>
  <c r="L19" i="184"/>
  <c r="O19" i="184"/>
  <c r="P19" i="184" s="1"/>
  <c r="L18" i="184"/>
  <c r="O18" i="184"/>
  <c r="P18" i="184" s="1"/>
  <c r="L30" i="113"/>
  <c r="L31" i="113" s="1"/>
  <c r="L32" i="113" s="1"/>
  <c r="L33" i="113" s="1"/>
  <c r="N29" i="113"/>
  <c r="L33" i="56"/>
  <c r="L34" i="56" s="1"/>
  <c r="L35" i="56" s="1"/>
  <c r="L36" i="56" s="1"/>
  <c r="L37" i="56" s="1"/>
  <c r="L32" i="184" l="1"/>
  <c r="M40" i="83"/>
  <c r="N40" i="83" s="1"/>
  <c r="N30" i="549"/>
  <c r="M34" i="550"/>
  <c r="L37" i="537"/>
  <c r="L38" i="537" s="1"/>
  <c r="L39" i="537" s="1"/>
  <c r="L40" i="537" s="1"/>
  <c r="L35" i="432"/>
  <c r="M35" i="432" s="1"/>
  <c r="M31" i="77"/>
  <c r="L34" i="400"/>
  <c r="L35" i="400" s="1"/>
  <c r="L36" i="400" s="1"/>
  <c r="L37" i="400" s="1"/>
  <c r="M31" i="442"/>
  <c r="M32" i="391"/>
  <c r="N32" i="391" s="1"/>
  <c r="M26" i="388"/>
  <c r="N26" i="388" s="1"/>
  <c r="L41" i="83"/>
  <c r="L42" i="83" s="1"/>
  <c r="L40" i="185"/>
  <c r="L41" i="185" s="1"/>
  <c r="L42" i="185" s="1"/>
  <c r="L43" i="185" s="1"/>
  <c r="M39" i="185"/>
  <c r="L33" i="184"/>
  <c r="L34" i="184" s="1"/>
  <c r="L35" i="184" s="1"/>
  <c r="L36" i="184" s="1"/>
  <c r="N36" i="537" l="1"/>
  <c r="L43" i="83"/>
  <c r="L44" i="83" s="1"/>
  <c r="L36" i="432"/>
  <c r="L37" i="432" s="1"/>
  <c r="L32" i="77"/>
  <c r="L33" i="77" s="1"/>
  <c r="L34" i="77" s="1"/>
  <c r="L35" i="77" s="1"/>
  <c r="M32" i="184"/>
  <c r="N32" i="184" s="1"/>
  <c r="L37" i="136"/>
  <c r="L38" i="136" s="1"/>
  <c r="L39" i="136" s="1"/>
  <c r="L40" i="136" s="1"/>
  <c r="L38" i="432" l="1"/>
  <c r="L39" i="432" s="1"/>
  <c r="M34" i="329" l="1"/>
  <c r="N34" i="329" l="1"/>
  <c r="O18" i="332" l="1"/>
  <c r="P18" i="332" s="1"/>
  <c r="M30" i="332" s="1"/>
  <c r="N30" i="332" s="1"/>
  <c r="L35" i="150" l="1"/>
  <c r="L36" i="150" s="1"/>
  <c r="L37" i="150" l="1"/>
  <c r="L38" i="150" s="1"/>
  <c r="L30" i="124" l="1"/>
  <c r="L31" i="124" s="1"/>
  <c r="N29" i="124"/>
  <c r="L32" i="124" l="1"/>
  <c r="L33" i="12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desse</author>
    <author>user</author>
  </authors>
  <commentList>
    <comment ref="J4" authorId="0" shapeId="0" xr:uid="{C1B9E039-9AEC-4687-996A-C7801F017640}">
      <text>
        <r>
          <rPr>
            <b/>
            <sz val="9"/>
            <color indexed="81"/>
            <rFont val="Tahoma"/>
            <family val="2"/>
          </rPr>
          <t>$31 on 1 june</t>
        </r>
      </text>
    </comment>
    <comment ref="CO4" authorId="0" shapeId="0" xr:uid="{791E631B-72C5-469D-91F8-05649CAA11F6}">
      <text>
        <r>
          <rPr>
            <b/>
            <sz val="9"/>
            <color indexed="81"/>
            <rFont val="Tahoma"/>
            <family val="2"/>
          </rPr>
          <t>$31 on 1 june</t>
        </r>
      </text>
    </comment>
    <comment ref="J7" authorId="0" shapeId="0" xr:uid="{7D9A4C91-8DA6-47C9-BC98-1965E500761F}">
      <text>
        <r>
          <rPr>
            <b/>
            <sz val="9"/>
            <color indexed="81"/>
            <rFont val="Tahoma"/>
            <family val="2"/>
          </rPr>
          <t>$37 on 1 june</t>
        </r>
      </text>
    </comment>
    <comment ref="S31" authorId="0" shapeId="0" xr:uid="{51A2058B-1CB7-4DAF-A933-87433AF5CD6E}">
      <text>
        <r>
          <rPr>
            <b/>
            <sz val="9"/>
            <color indexed="81"/>
            <rFont val="Tahoma"/>
            <family val="2"/>
          </rPr>
          <t>$6 before 1/11</t>
        </r>
      </text>
    </comment>
    <comment ref="CS35" authorId="0" shapeId="0" xr:uid="{5F1DBEE7-80B2-4BF3-8B57-D502C5E2040D}">
      <text>
        <r>
          <rPr>
            <b/>
            <sz val="9"/>
            <color indexed="81"/>
            <rFont val="Tahoma"/>
            <family val="2"/>
          </rPr>
          <t xml:space="preserve">CHANGE ON 30 JUN
</t>
        </r>
      </text>
    </comment>
    <comment ref="O109" authorId="1" shapeId="0" xr:uid="{CA1C4CEE-A73E-4D0D-AE0B-D70128C2E57F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Q109" authorId="1" shapeId="0" xr:uid="{B021C631-84ED-4CDE-B64F-EDACA40CADC7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Z109" authorId="1" shapeId="0" xr:uid="{E7AD6346-D76F-4B06-823F-0F81864F4B5D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J138" authorId="0" shapeId="0" xr:uid="{4DB70125-B53B-4E92-AAD4-EC1867F909C8}">
      <text>
        <r>
          <rPr>
            <b/>
            <sz val="9"/>
            <color indexed="81"/>
            <rFont val="Tahoma"/>
            <family val="2"/>
          </rPr>
          <t>$10.50 on 1 june</t>
        </r>
      </text>
    </comment>
    <comment ref="CR138" authorId="0" shapeId="0" xr:uid="{F0C2DE25-88A4-43F2-9ED7-7C96436681EA}">
      <text>
        <r>
          <rPr>
            <b/>
            <sz val="9"/>
            <color indexed="81"/>
            <rFont val="Tahoma"/>
            <family val="2"/>
          </rPr>
          <t>$10.50 on 1 june</t>
        </r>
      </text>
    </comment>
    <comment ref="N150" authorId="0" shapeId="0" xr:uid="{AC353806-6935-44C2-A51E-4CC73608F6FE}">
      <text>
        <r>
          <rPr>
            <b/>
            <sz val="9"/>
            <color indexed="81"/>
            <rFont val="Tahoma"/>
            <family val="2"/>
          </rPr>
          <t>0.80</t>
        </r>
      </text>
    </comment>
    <comment ref="O150" authorId="0" shapeId="0" xr:uid="{C9C69FC1-366D-4DB5-BDCA-18B8D3D42243}">
      <text>
        <r>
          <rPr>
            <b/>
            <sz val="9"/>
            <color indexed="81"/>
            <rFont val="Tahoma"/>
            <family val="2"/>
          </rPr>
          <t>0.70</t>
        </r>
      </text>
    </comment>
    <comment ref="R150" authorId="0" shapeId="0" xr:uid="{002E4FFE-79F4-4DF1-9D48-D0BDC0E59B1C}">
      <text>
        <r>
          <rPr>
            <b/>
            <sz val="9"/>
            <color indexed="81"/>
            <rFont val="Tahoma"/>
            <family val="2"/>
          </rPr>
          <t>0.80</t>
        </r>
      </text>
    </comment>
    <comment ref="J151" authorId="0" shapeId="0" xr:uid="{7A439153-A305-4648-9EEB-ACB2AA9D7D57}">
      <text>
        <r>
          <rPr>
            <b/>
            <sz val="9"/>
            <color indexed="81"/>
            <rFont val="Tahoma"/>
            <family val="2"/>
          </rPr>
          <t>$41 on 1 june</t>
        </r>
      </text>
    </comment>
    <comment ref="CO151" authorId="0" shapeId="0" xr:uid="{9818F0E8-7DAA-4612-BABD-4035B1CB2774}">
      <text>
        <r>
          <rPr>
            <b/>
            <sz val="9"/>
            <color indexed="81"/>
            <rFont val="Tahoma"/>
            <family val="2"/>
          </rPr>
          <t>$41 on 1 june</t>
        </r>
      </text>
    </comment>
    <comment ref="J154" authorId="0" shapeId="0" xr:uid="{E37D33B1-EFC4-4D75-962F-1661A2C74738}">
      <text>
        <r>
          <rPr>
            <b/>
            <sz val="9"/>
            <color indexed="81"/>
            <rFont val="Tahoma"/>
            <family val="2"/>
          </rPr>
          <t>$13 on 1 june</t>
        </r>
      </text>
    </comment>
    <comment ref="CN154" authorId="0" shapeId="0" xr:uid="{87564D16-9078-4E85-B503-102125BBD166}">
      <text>
        <r>
          <rPr>
            <b/>
            <sz val="9"/>
            <color indexed="81"/>
            <rFont val="Tahoma"/>
            <family val="2"/>
          </rPr>
          <t>$13 on 1 june</t>
        </r>
      </text>
    </comment>
    <comment ref="L160" authorId="0" shapeId="0" xr:uid="{2A208CD2-67BF-463D-A232-6DF05B482AE9}">
      <text>
        <r>
          <rPr>
            <b/>
            <sz val="9"/>
            <color indexed="81"/>
            <rFont val="Tahoma"/>
            <family val="2"/>
          </rPr>
          <t>desse:</t>
        </r>
        <r>
          <rPr>
            <sz val="9"/>
            <color indexed="81"/>
            <rFont val="Tahoma"/>
            <family val="2"/>
          </rPr>
          <t xml:space="preserve">
increase from 22 to 24 effective 15/12/2021</t>
        </r>
      </text>
    </comment>
    <comment ref="L162" authorId="0" shapeId="0" xr:uid="{AC66A86D-234D-4817-A417-77308B2F8062}">
      <text>
        <r>
          <rPr>
            <b/>
            <sz val="9"/>
            <color indexed="81"/>
            <rFont val="Tahoma"/>
            <family val="2"/>
          </rPr>
          <t>desse:</t>
        </r>
        <r>
          <rPr>
            <sz val="9"/>
            <color indexed="81"/>
            <rFont val="Tahoma"/>
            <family val="2"/>
          </rPr>
          <t xml:space="preserve">
increase from 30 to $32 effective 15/12/2021</t>
        </r>
      </text>
    </comment>
    <comment ref="L163" authorId="0" shapeId="0" xr:uid="{5A688F4F-F38F-48FD-AF1A-464BF6AFE7F6}">
      <text>
        <r>
          <rPr>
            <b/>
            <sz val="9"/>
            <color indexed="81"/>
            <rFont val="Tahoma"/>
            <family val="2"/>
          </rPr>
          <t>desse:</t>
        </r>
        <r>
          <rPr>
            <sz val="9"/>
            <color indexed="81"/>
            <rFont val="Tahoma"/>
            <family val="2"/>
          </rPr>
          <t xml:space="preserve">
increase from 30 to $32 effective 15/12/2021</t>
        </r>
      </text>
    </comment>
    <comment ref="J187" authorId="0" shapeId="0" xr:uid="{A6BEB5AF-62B7-406D-B1CD-2BAE75C956D7}">
      <text>
        <r>
          <rPr>
            <b/>
            <sz val="9"/>
            <color indexed="81"/>
            <rFont val="Tahoma"/>
            <family val="2"/>
          </rPr>
          <t>$9.50 on 1 june</t>
        </r>
      </text>
    </comment>
    <comment ref="J188" authorId="0" shapeId="0" xr:uid="{DB2CD881-92D6-4FA4-945F-C52A9BA281B9}">
      <text>
        <r>
          <rPr>
            <b/>
            <sz val="9"/>
            <color indexed="81"/>
            <rFont val="Tahoma"/>
            <family val="2"/>
          </rPr>
          <t>$9.50 on 1 june</t>
        </r>
      </text>
    </comment>
    <comment ref="H196" authorId="0" shapeId="0" xr:uid="{D7E8930F-0740-4BC6-9CD9-5FFADF96717F}">
      <text>
        <r>
          <rPr>
            <b/>
            <sz val="9"/>
            <color indexed="81"/>
            <rFont val="Tahoma"/>
            <family val="2"/>
          </rPr>
          <t>desse:</t>
        </r>
        <r>
          <rPr>
            <sz val="9"/>
            <color indexed="81"/>
            <rFont val="Tahoma"/>
            <family val="2"/>
          </rPr>
          <t xml:space="preserve">
increase from 34 to 36 effective 1/12/2021
</t>
        </r>
      </text>
    </comment>
    <comment ref="O199" authorId="0" shapeId="0" xr:uid="{B528F4A1-EEBA-4CB9-887A-6500A98032C8}">
      <text>
        <r>
          <rPr>
            <b/>
            <sz val="9"/>
            <color indexed="81"/>
            <rFont val="Tahoma"/>
            <family val="2"/>
          </rPr>
          <t>东北</t>
        </r>
      </text>
    </comment>
    <comment ref="K223" authorId="0" shapeId="0" xr:uid="{20714F8A-6EEF-474B-997A-1496AD7E2E06}">
      <text>
        <r>
          <rPr>
            <b/>
            <sz val="9"/>
            <color indexed="81"/>
            <rFont val="Tahoma"/>
            <family val="2"/>
          </rPr>
          <t>$80 to be change on 1 Jan 2023
prev $78</t>
        </r>
      </text>
    </comment>
    <comment ref="R235" authorId="1" shapeId="0" xr:uid="{6FCBA645-1739-432B-B1AB-282783A441DB}">
      <text>
        <r>
          <rPr>
            <b/>
            <sz val="9"/>
            <color indexed="81"/>
            <rFont val="Tahoma"/>
            <family val="2"/>
          </rPr>
          <t>effective 18-11-2019</t>
        </r>
      </text>
    </comment>
    <comment ref="N280" authorId="0" shapeId="0" xr:uid="{1AC08202-BBC0-4BA1-B4C1-2A1D1ADF2649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O280" authorId="0" shapeId="0" xr:uid="{48017D37-E8B0-4035-A6E7-53B2AD963E13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P280" authorId="0" shapeId="0" xr:uid="{62F8E2B6-323A-4949-A02B-8DD7A9D180D5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R280" authorId="0" shapeId="0" xr:uid="{04D337F3-D9A2-4FB6-99CF-DB946183F824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AC280" authorId="0" shapeId="0" xr:uid="{DB09883B-8764-4889-A48B-D5617A511D77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AF280" authorId="0" shapeId="0" xr:uid="{8980A80F-53F8-4D72-8D25-0FC846D6B8A5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BZ280" authorId="0" shapeId="0" xr:uid="{D38729CB-9E46-487A-BB48-FC2C2B72515D}">
      <text>
        <r>
          <rPr>
            <b/>
            <sz val="9"/>
            <color indexed="81"/>
            <rFont val="Tahoma"/>
            <family val="2"/>
          </rPr>
          <t>3</t>
        </r>
      </text>
    </comment>
    <comment ref="J348" authorId="0" shapeId="0" xr:uid="{A9B2611E-887B-45F3-A6E3-CFCD200818AE}">
      <text>
        <r>
          <rPr>
            <b/>
            <sz val="9"/>
            <color indexed="81"/>
            <rFont val="Tahoma"/>
            <family val="2"/>
          </rPr>
          <t xml:space="preserve">$34
subsitute with 4060 golden boy
</t>
        </r>
      </text>
    </comment>
    <comment ref="CO348" authorId="0" shapeId="0" xr:uid="{AB14EE4B-2EB9-487F-BF52-670AE2A4311E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I349" authorId="0" shapeId="0" xr:uid="{455B2910-B7C7-45D3-BF87-3F5E987791F9}">
      <text>
        <r>
          <rPr>
            <b/>
            <sz val="9"/>
            <color indexed="81"/>
            <rFont val="Tahoma"/>
            <family val="2"/>
          </rPr>
          <t>$18
subsitute with 4061A golden boy</t>
        </r>
      </text>
    </comment>
    <comment ref="BX361" authorId="1" shapeId="0" xr:uid="{F2E34449-E988-42B6-BC05-3A6AF925DAA9}">
      <text>
        <r>
          <rPr>
            <sz val="9"/>
            <color indexed="81"/>
            <rFont val="Tahoma"/>
            <family val="2"/>
          </rPr>
          <t xml:space="preserve">24-09 INV: 201909470 BLK 168 INCREASSE
</t>
        </r>
      </text>
    </comment>
    <comment ref="AA362" authorId="0" shapeId="0" xr:uid="{90200F0F-263C-4325-B810-758A8F2C27F5}">
      <text>
        <r>
          <rPr>
            <b/>
            <sz val="9"/>
            <color indexed="81"/>
            <rFont val="Tahoma"/>
            <family val="2"/>
          </rPr>
          <t>$26</t>
        </r>
      </text>
    </comment>
    <comment ref="I364" authorId="0" shapeId="0" xr:uid="{84A2FE76-016D-44FF-A439-9F8E024A9BED}">
      <text>
        <r>
          <rPr>
            <b/>
            <sz val="9"/>
            <color indexed="81"/>
            <rFont val="Tahoma"/>
            <family val="2"/>
          </rPr>
          <t>$18</t>
        </r>
      </text>
    </comment>
    <comment ref="I365" authorId="0" shapeId="0" xr:uid="{F8B6C6E9-7200-4AC0-BD7B-31D059CA9BFF}">
      <text>
        <r>
          <rPr>
            <b/>
            <sz val="9"/>
            <color indexed="81"/>
            <rFont val="Tahoma"/>
            <family val="2"/>
          </rPr>
          <t>$18</t>
        </r>
      </text>
    </comment>
    <comment ref="I367" authorId="0" shapeId="0" xr:uid="{BED0C3B8-CF1F-4304-9E0E-6308CC3A7463}">
      <text>
        <r>
          <rPr>
            <b/>
            <sz val="9"/>
            <color indexed="81"/>
            <rFont val="Tahoma"/>
            <family val="2"/>
          </rPr>
          <t>To change back to Golden Champ after July in stock. S$24</t>
        </r>
      </text>
    </comment>
    <comment ref="I368" authorId="0" shapeId="0" xr:uid="{F1399F3F-B1C4-4116-83C9-17B653C4F8C2}">
      <text>
        <r>
          <rPr>
            <b/>
            <sz val="9"/>
            <color indexed="81"/>
            <rFont val="Tahoma"/>
            <family val="2"/>
          </rPr>
          <t>To change back to Golden Champ after July in stock. S$24</t>
        </r>
      </text>
    </comment>
    <comment ref="I371" authorId="0" shapeId="0" xr:uid="{F77DA573-DB0E-4765-B09D-1D009DBCD56A}">
      <text>
        <r>
          <rPr>
            <b/>
            <sz val="9"/>
            <color indexed="81"/>
            <rFont val="Tahoma"/>
            <family val="2"/>
          </rPr>
          <t>$37 in 1 Jun</t>
        </r>
      </text>
    </comment>
    <comment ref="I372" authorId="0" shapeId="0" xr:uid="{E66221F2-688B-431F-8941-629D50E615A1}">
      <text>
        <r>
          <rPr>
            <b/>
            <sz val="9"/>
            <color indexed="81"/>
            <rFont val="Tahoma"/>
            <family val="2"/>
          </rPr>
          <t>$37 in 1 Jun</t>
        </r>
      </text>
    </comment>
    <comment ref="U400" authorId="0" shapeId="0" xr:uid="{18C4FE15-4E9A-4A1E-AEAD-C6C381B95C7B}">
      <text>
        <r>
          <rPr>
            <b/>
            <sz val="9"/>
            <color indexed="81"/>
            <rFont val="Tahoma"/>
            <family val="2"/>
          </rPr>
          <t>38</t>
        </r>
      </text>
    </comment>
    <comment ref="I425" authorId="0" shapeId="0" xr:uid="{CEBE1C01-02CA-44B6-8583-CE7D710925A2}">
      <text>
        <r>
          <rPr>
            <sz val="9"/>
            <color indexed="81"/>
            <rFont val="Tahoma"/>
            <family val="2"/>
          </rPr>
          <t xml:space="preserve">use only when "status" no stock S$21
</t>
        </r>
      </text>
    </comment>
    <comment ref="I427" authorId="0" shapeId="0" xr:uid="{C57619A3-B3B3-4FFC-88CA-2D49352623AC}">
      <text>
        <r>
          <rPr>
            <sz val="9"/>
            <color indexed="81"/>
            <rFont val="Tahoma"/>
            <family val="2"/>
          </rPr>
          <t xml:space="preserve">use only when "status" no stock S$21
</t>
        </r>
      </text>
    </comment>
    <comment ref="J433" authorId="0" shapeId="0" xr:uid="{43F967DF-F744-465D-B9E5-5EF2C5FA3247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T433" authorId="0" shapeId="0" xr:uid="{57842540-9032-43B4-B0AB-593359580A7C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AR433" authorId="0" shapeId="0" xr:uid="{D75A2062-7E62-4BC7-BEED-A8C27027C59B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AT433" authorId="0" shapeId="0" xr:uid="{852483F5-DDDF-47E0-8FE8-D15273E4E7BE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AU433" authorId="0" shapeId="0" xr:uid="{6903C313-CC3C-4399-AE7B-77CA859B327F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AV433" authorId="0" shapeId="0" xr:uid="{63DCA24D-854A-425E-862D-C375517F6A15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CO433" authorId="0" shapeId="0" xr:uid="{271878F5-2B9C-48E1-A5D2-4E495759443E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I434" authorId="0" shapeId="0" xr:uid="{E01CC70C-87C2-4F5D-B035-6DA95A099120}">
      <text>
        <r>
          <rPr>
            <b/>
            <sz val="9"/>
            <color indexed="81"/>
            <rFont val="Tahoma"/>
            <family val="2"/>
          </rPr>
          <t>$18 in 1 June</t>
        </r>
      </text>
    </comment>
    <comment ref="Q438" authorId="0" shapeId="0" xr:uid="{E3895B58-1A41-4227-BFFE-A9184A696BE0}">
      <text>
        <r>
          <rPr>
            <b/>
            <sz val="9"/>
            <color indexed="81"/>
            <rFont val="Tahoma"/>
            <family val="2"/>
          </rPr>
          <t>$6.6</t>
        </r>
      </text>
    </comment>
    <comment ref="I456" authorId="0" shapeId="0" xr:uid="{0F9567B0-CE3B-4A41-B519-76F3AF236292}">
      <text>
        <r>
          <rPr>
            <b/>
            <sz val="9"/>
            <color indexed="81"/>
            <rFont val="Tahoma"/>
            <family val="2"/>
          </rPr>
          <t>$35 in 1 June</t>
        </r>
      </text>
    </comment>
    <comment ref="I457" authorId="0" shapeId="0" xr:uid="{9B4F58C8-22F4-421F-8B08-852DC51D6D93}">
      <text>
        <r>
          <rPr>
            <b/>
            <sz val="9"/>
            <color indexed="81"/>
            <rFont val="Tahoma"/>
            <family val="2"/>
          </rPr>
          <t>$35 in 1 June</t>
        </r>
      </text>
    </comment>
    <comment ref="V458" authorId="1" shapeId="0" xr:uid="{C17AABA4-BA30-443A-A7A3-3F3F2F5C89B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1 June price increase to S$31</t>
        </r>
      </text>
    </comment>
    <comment ref="K462" authorId="0" shapeId="0" xr:uid="{0E8F6E2E-07E1-4BC6-B3D3-F48DA389C7CD}">
      <text>
        <r>
          <rPr>
            <b/>
            <sz val="9"/>
            <color indexed="81"/>
            <rFont val="Tahoma"/>
            <family val="2"/>
          </rPr>
          <t>$50 to be change on 15 June 2022
prev $42</t>
        </r>
      </text>
    </comment>
    <comment ref="I472" authorId="0" shapeId="0" xr:uid="{CD5B06D1-35E3-4DF3-8851-1F390AFA0C3C}">
      <text>
        <r>
          <rPr>
            <b/>
            <sz val="9"/>
            <color indexed="81"/>
            <rFont val="Tahoma"/>
            <family val="2"/>
          </rPr>
          <t>$3.30 in 1 June</t>
        </r>
      </text>
    </comment>
    <comment ref="I473" authorId="0" shapeId="0" xr:uid="{F3241650-EFA6-4B73-B592-D1CA64254797}">
      <text>
        <r>
          <rPr>
            <b/>
            <sz val="9"/>
            <color indexed="81"/>
            <rFont val="Tahoma"/>
            <family val="2"/>
          </rPr>
          <t>$3.30 in 1 June</t>
        </r>
      </text>
    </comment>
  </commentList>
</comments>
</file>

<file path=xl/sharedStrings.xml><?xml version="1.0" encoding="utf-8"?>
<sst xmlns="http://schemas.openxmlformats.org/spreadsheetml/2006/main" count="15217" uniqueCount="2309">
  <si>
    <t>Product Code</t>
  </si>
  <si>
    <t>Description</t>
  </si>
  <si>
    <t>ITEM</t>
  </si>
  <si>
    <t>PRODUCT CODE</t>
  </si>
  <si>
    <t>DESCRIPTION</t>
  </si>
  <si>
    <t>UNIT PRICE</t>
  </si>
  <si>
    <t>AMOUNT (S$)</t>
  </si>
  <si>
    <t>Bill To:</t>
  </si>
  <si>
    <t>Delivery To:</t>
  </si>
  <si>
    <t>Date</t>
  </si>
  <si>
    <t>Terms</t>
  </si>
  <si>
    <t>Sales</t>
  </si>
  <si>
    <t>30 days</t>
  </si>
  <si>
    <t>Sub-Total</t>
  </si>
  <si>
    <t>SGD</t>
  </si>
  <si>
    <t>Add GST</t>
  </si>
  <si>
    <t>Good received in good order and condition</t>
  </si>
  <si>
    <t>Good sold are not returnable or refunable</t>
  </si>
  <si>
    <t>Cheques Payment should be crossed and made payable to : Dessert Origin Pte Ltd</t>
  </si>
  <si>
    <t>Total Current Bill</t>
  </si>
  <si>
    <t>Less Discount</t>
  </si>
  <si>
    <t>Total Amount Payable</t>
  </si>
  <si>
    <t xml:space="preserve">I-Banking account : 3583150135 </t>
  </si>
  <si>
    <t>Bank-Branch No : 7375-466</t>
  </si>
  <si>
    <t>Bank Name : United oversea Bank Limited</t>
  </si>
  <si>
    <t>COMPANY CHOP &amp; SIGNATURE</t>
  </si>
  <si>
    <t>Dessert Origin Pte Ltd</t>
  </si>
  <si>
    <t>Tax Invoice</t>
  </si>
  <si>
    <t>Currency</t>
  </si>
  <si>
    <t>Standard Pack</t>
  </si>
  <si>
    <t>UOM</t>
  </si>
  <si>
    <t>Box</t>
  </si>
  <si>
    <t>1 kg</t>
  </si>
  <si>
    <t>CTN</t>
  </si>
  <si>
    <t>-</t>
  </si>
  <si>
    <t>Kg</t>
  </si>
  <si>
    <t>Ctn</t>
  </si>
  <si>
    <t>1 box</t>
  </si>
  <si>
    <t>Pkt</t>
  </si>
  <si>
    <t>Bag</t>
  </si>
  <si>
    <t>Bottle</t>
  </si>
  <si>
    <t>Chefs</t>
  </si>
  <si>
    <t>Can</t>
  </si>
  <si>
    <t>Statue</t>
  </si>
  <si>
    <t>PKT</t>
  </si>
  <si>
    <t>Rabbit Brand</t>
  </si>
  <si>
    <t>INDONESIA</t>
  </si>
  <si>
    <t>5 kgs</t>
  </si>
  <si>
    <t>Tukhmaria</t>
  </si>
  <si>
    <t>1kg</t>
  </si>
  <si>
    <t>AA</t>
  </si>
  <si>
    <t>Mitrphol</t>
  </si>
  <si>
    <t>Kara UHT</t>
  </si>
  <si>
    <t>Brand</t>
  </si>
  <si>
    <t>DO!</t>
  </si>
  <si>
    <t>10kgs/ctn</t>
  </si>
  <si>
    <t>INGCOD1052</t>
  </si>
  <si>
    <t>3KGS/PKT</t>
  </si>
  <si>
    <t>5KGS/PKT</t>
  </si>
  <si>
    <t>3 KGS/PKT</t>
  </si>
  <si>
    <t>INGCOD1038</t>
  </si>
  <si>
    <t>10PKT/BAG</t>
  </si>
  <si>
    <t>1 KG</t>
  </si>
  <si>
    <t>INGCOD1051</t>
  </si>
  <si>
    <t>INGCOD1041</t>
  </si>
  <si>
    <t>INGCOD1042</t>
  </si>
  <si>
    <t>Delivery Location</t>
  </si>
  <si>
    <t>ID</t>
  </si>
  <si>
    <t>ID#02</t>
  </si>
  <si>
    <t>ID#03</t>
  </si>
  <si>
    <t>ID#04</t>
  </si>
  <si>
    <t>ID#05</t>
  </si>
  <si>
    <t>1 Can X A10</t>
  </si>
  <si>
    <t>INGCOD1066</t>
  </si>
  <si>
    <t>BL BRAND</t>
  </si>
  <si>
    <t>ID#06</t>
  </si>
  <si>
    <t>ID#07</t>
  </si>
  <si>
    <t>Tin</t>
  </si>
  <si>
    <t>500 gms</t>
  </si>
  <si>
    <t>5 kg</t>
  </si>
  <si>
    <t>DO022</t>
  </si>
  <si>
    <t>INGCOD1031</t>
  </si>
  <si>
    <t>Pce</t>
  </si>
  <si>
    <t>INGCOD1040</t>
  </si>
  <si>
    <t>INGCOD1049</t>
  </si>
  <si>
    <t>INGCOD1023</t>
  </si>
  <si>
    <t>INGCOD1017</t>
  </si>
  <si>
    <t>INGCOD1034</t>
  </si>
  <si>
    <t>INGCOD1045</t>
  </si>
  <si>
    <t>INGCOD1004</t>
  </si>
  <si>
    <t>INGCOD1032</t>
  </si>
  <si>
    <t>BTL</t>
  </si>
  <si>
    <t>INGCOD1065</t>
  </si>
  <si>
    <t>1 Btl</t>
  </si>
  <si>
    <t>25 kgs/Bag</t>
  </si>
  <si>
    <t>Food Junction</t>
  </si>
  <si>
    <t>Koufu</t>
  </si>
  <si>
    <t>Rose</t>
  </si>
  <si>
    <t>ID#01</t>
  </si>
  <si>
    <t>ID#08</t>
  </si>
  <si>
    <t>ID#09</t>
  </si>
  <si>
    <t>ID#10</t>
  </si>
  <si>
    <t>ID#11</t>
  </si>
  <si>
    <t>ID#12</t>
  </si>
  <si>
    <t>ID#13</t>
  </si>
  <si>
    <t>ID#14</t>
  </si>
  <si>
    <t>ID#15</t>
  </si>
  <si>
    <t>ID#16</t>
  </si>
  <si>
    <t>ID#17</t>
  </si>
  <si>
    <t>ID#18</t>
  </si>
  <si>
    <t>ID#19</t>
  </si>
  <si>
    <t>ID#20</t>
  </si>
  <si>
    <t>ID#21</t>
  </si>
  <si>
    <t>ID#22</t>
  </si>
  <si>
    <t>ID#23</t>
  </si>
  <si>
    <t>ID#24</t>
  </si>
  <si>
    <t>ID#25</t>
  </si>
  <si>
    <t>ID#26</t>
  </si>
  <si>
    <t>ID#27</t>
  </si>
  <si>
    <t>ID#28</t>
  </si>
  <si>
    <t>ID#29</t>
  </si>
  <si>
    <t>ID#30</t>
  </si>
  <si>
    <t>ID#31</t>
  </si>
  <si>
    <t>ID#32</t>
  </si>
  <si>
    <t>ID#33</t>
  </si>
  <si>
    <t>ID#34</t>
  </si>
  <si>
    <t>ID#35</t>
  </si>
  <si>
    <t>PO No</t>
  </si>
  <si>
    <t>New Trends</t>
  </si>
  <si>
    <t>6 BOTTLE</t>
  </si>
  <si>
    <t>BOX</t>
  </si>
  <si>
    <t>Dessert Station</t>
  </si>
  <si>
    <t>Zhu Fang Ruo</t>
  </si>
  <si>
    <t>DO076</t>
  </si>
  <si>
    <t>Almond No 1</t>
  </si>
  <si>
    <t>Mango</t>
  </si>
  <si>
    <t>Sin-ind</t>
  </si>
  <si>
    <t>Hershey's</t>
  </si>
  <si>
    <t>Btl</t>
  </si>
  <si>
    <t>S111</t>
  </si>
  <si>
    <t>S111 Pte Ltd                                             26A, Kallang Place. Singapore 339212</t>
  </si>
  <si>
    <t>S111 Beverage Pte Ltd                            No 61, Tai Seng Ave. Singapore 534167</t>
  </si>
  <si>
    <t>Group Billing</t>
  </si>
  <si>
    <t>Tan Soon Mui Food Industries                       8, Woodlands Terrace. Singapore 738433.</t>
  </si>
  <si>
    <t>Tan Soon Mei</t>
  </si>
  <si>
    <t>ID#36</t>
  </si>
  <si>
    <t>ID#37</t>
  </si>
  <si>
    <t>ID#38</t>
  </si>
  <si>
    <t>ID#39</t>
  </si>
  <si>
    <t>ID#40</t>
  </si>
  <si>
    <t>ID#41</t>
  </si>
  <si>
    <t>ID#42</t>
  </si>
  <si>
    <t>ID#43</t>
  </si>
  <si>
    <t>ID#44</t>
  </si>
  <si>
    <t>ID#45</t>
  </si>
  <si>
    <t>ID#46</t>
  </si>
  <si>
    <t>ID#47</t>
  </si>
  <si>
    <t>ID#48</t>
  </si>
  <si>
    <t>ID#49</t>
  </si>
  <si>
    <t>ID#50</t>
  </si>
  <si>
    <t>ID#51</t>
  </si>
  <si>
    <t>ID#52</t>
  </si>
  <si>
    <t>ID#53</t>
  </si>
  <si>
    <t>ID#54</t>
  </si>
  <si>
    <t>ID#55</t>
  </si>
  <si>
    <t>ID#56</t>
  </si>
  <si>
    <t>ID#57</t>
  </si>
  <si>
    <t>ID#58</t>
  </si>
  <si>
    <t>ID#59</t>
  </si>
  <si>
    <t>ID#60</t>
  </si>
  <si>
    <t>ID#61</t>
  </si>
  <si>
    <t>ID#62</t>
  </si>
  <si>
    <t>ID#63</t>
  </si>
  <si>
    <t>ID#64</t>
  </si>
  <si>
    <t>ID#65</t>
  </si>
  <si>
    <t>ID#66</t>
  </si>
  <si>
    <t>ID#67</t>
  </si>
  <si>
    <t>ID#68</t>
  </si>
  <si>
    <t>ID#69</t>
  </si>
  <si>
    <t>ID#70</t>
  </si>
  <si>
    <t>ID#71</t>
  </si>
  <si>
    <t>ID#72</t>
  </si>
  <si>
    <t>ID#73</t>
  </si>
  <si>
    <t>3Q Jelly</t>
  </si>
  <si>
    <t>ID#74</t>
  </si>
  <si>
    <t>Dessert First Pte Ltd                                   37, #01-407 Jalan Rummah Tinggi Singapore 150037</t>
  </si>
  <si>
    <t>Dessert First</t>
  </si>
  <si>
    <t>PKt</t>
  </si>
  <si>
    <t>ID#75</t>
  </si>
  <si>
    <t>ID#76</t>
  </si>
  <si>
    <t>梅林</t>
  </si>
  <si>
    <t>甜甜</t>
  </si>
  <si>
    <t>ID#77</t>
  </si>
  <si>
    <t>ID#78</t>
  </si>
  <si>
    <t>Individual</t>
  </si>
  <si>
    <t>JNS 111 Food                                               River Vally Point #01-11 Singapore 248371.</t>
  </si>
  <si>
    <t>TL</t>
  </si>
  <si>
    <t>丰</t>
  </si>
  <si>
    <t>20 kgs/tin</t>
  </si>
  <si>
    <t>2P</t>
  </si>
  <si>
    <t>Mini</t>
  </si>
  <si>
    <t>梅林                                                             Block 425, #06-409 Tampines Street 41, Singapore 520425</t>
  </si>
  <si>
    <t>ID#79</t>
  </si>
  <si>
    <t>ID#80</t>
  </si>
  <si>
    <t>ID#81</t>
  </si>
  <si>
    <t>ID#82</t>
  </si>
  <si>
    <t>ID#83</t>
  </si>
  <si>
    <t>Tub</t>
  </si>
  <si>
    <t>Drum</t>
  </si>
  <si>
    <t xml:space="preserve">Fresh Soursop 红毛榴莲 </t>
  </si>
  <si>
    <t>Q Ball Q圆</t>
  </si>
  <si>
    <t>Honey Pearl - Black 蜜糖珍珠</t>
  </si>
  <si>
    <t>Tapioca木薯</t>
  </si>
  <si>
    <t>Rock Suger冰糖</t>
  </si>
  <si>
    <t>Bobo Cha Cubes.摩摩喳喳</t>
  </si>
  <si>
    <t>Chin Chow  仙 草</t>
  </si>
  <si>
    <t>Jelly Powder 文头雪粉</t>
  </si>
  <si>
    <t>Agar Powder菜燕粉</t>
  </si>
  <si>
    <t>Sea Coconut海底椰</t>
  </si>
  <si>
    <t>Lychee in Syrup荔枝</t>
  </si>
  <si>
    <t>Peach 桃畔</t>
  </si>
  <si>
    <t>Sweeten Melon Strip冬瓜条</t>
  </si>
  <si>
    <t>Coconut Sugar椰糖</t>
  </si>
  <si>
    <t>Sweet Potato Powder番薯粉</t>
  </si>
  <si>
    <t>Tapioca Flour 茨粉</t>
  </si>
  <si>
    <t>Selaseh (Basil Seed) 青蛙蛋</t>
  </si>
  <si>
    <t>Green Bean 绿豆</t>
  </si>
  <si>
    <t>Split Green Mung Bean豆畔</t>
  </si>
  <si>
    <t>Black Glutinous Rice 黑糯米</t>
  </si>
  <si>
    <t>White Wheat 大麦</t>
  </si>
  <si>
    <t>Pearl Barley 薏米</t>
  </si>
  <si>
    <t>Big Sago 大丸</t>
  </si>
  <si>
    <t>Small Sago 小丸</t>
  </si>
  <si>
    <t>Dried Longan 龙眼干</t>
  </si>
  <si>
    <t>Red Date 红枣</t>
  </si>
  <si>
    <t>Dried Persimmon 柿子</t>
  </si>
  <si>
    <t>Brown Sugar 黑糖</t>
  </si>
  <si>
    <t>Red Sugar 赤糖</t>
  </si>
  <si>
    <t>Fine Sugar 白糖</t>
  </si>
  <si>
    <t>Pong Thai Hai (Dry) 碰大海</t>
  </si>
  <si>
    <t>Bean Curd Sheet 腐竹</t>
  </si>
  <si>
    <t>Potato Starch 风车粉</t>
  </si>
  <si>
    <t>Sweet Potato 番薯</t>
  </si>
  <si>
    <t>Yam 芋头</t>
  </si>
  <si>
    <t>Pandan Leaf 班兰叶</t>
  </si>
  <si>
    <t>Water Chestnut 马蹄</t>
  </si>
  <si>
    <t>Coconut Milk 椰浆</t>
  </si>
  <si>
    <t>Ginger 老姜</t>
  </si>
  <si>
    <t>Yu Tiao 油条</t>
  </si>
  <si>
    <t>Candy Sugar 片糖</t>
  </si>
  <si>
    <t>Fine Salt  幼盐</t>
  </si>
  <si>
    <t>Liquid Maltose 麦芽糖</t>
  </si>
  <si>
    <t>SALT 盐</t>
  </si>
  <si>
    <t>Sour Plum 酸梅</t>
  </si>
  <si>
    <t>Canned Red Bean 罐头 红豆</t>
  </si>
  <si>
    <t>Peanut 花生</t>
  </si>
  <si>
    <t>Colour Rice 七彩米</t>
  </si>
  <si>
    <t>CoCo Rice 可可米</t>
  </si>
  <si>
    <t>Water Chestnut Juice 马蹄水</t>
  </si>
  <si>
    <t>Calamansi Juice 酸柑水</t>
  </si>
  <si>
    <t>Sour Plum Juice 酸梅水</t>
  </si>
  <si>
    <t>Rose Juice 玫瑰水</t>
  </si>
  <si>
    <t>Green Apple Jam  青苹果</t>
  </si>
  <si>
    <t>Blueberry 蓝莓酱</t>
  </si>
  <si>
    <t>Agar Strip 菜燕条</t>
  </si>
  <si>
    <t>Butter 牛油</t>
  </si>
  <si>
    <t>Packing Method</t>
  </si>
  <si>
    <t>Delivery Group</t>
  </si>
  <si>
    <t>H</t>
  </si>
  <si>
    <t>H, SM</t>
  </si>
  <si>
    <t>SM</t>
  </si>
  <si>
    <t>H, C</t>
  </si>
  <si>
    <t>C</t>
  </si>
  <si>
    <t>H,C</t>
  </si>
  <si>
    <t>SM, H,C</t>
  </si>
  <si>
    <t>ID#84</t>
  </si>
  <si>
    <t>ID#85</t>
  </si>
  <si>
    <t>ID#86</t>
  </si>
  <si>
    <t>M007</t>
  </si>
  <si>
    <t>P003</t>
  </si>
  <si>
    <t>P006</t>
  </si>
  <si>
    <t>P019</t>
  </si>
  <si>
    <t>P027</t>
  </si>
  <si>
    <t>P030</t>
  </si>
  <si>
    <t>P033</t>
  </si>
  <si>
    <t>P035</t>
  </si>
  <si>
    <t>P037</t>
  </si>
  <si>
    <t>P042</t>
  </si>
  <si>
    <t>P048</t>
  </si>
  <si>
    <t>P049</t>
  </si>
  <si>
    <t>P054</t>
  </si>
  <si>
    <t>P056</t>
  </si>
  <si>
    <t>P057</t>
  </si>
  <si>
    <t>P059</t>
  </si>
  <si>
    <t>P062</t>
  </si>
  <si>
    <t>P066</t>
  </si>
  <si>
    <t>P067</t>
  </si>
  <si>
    <t>P074</t>
  </si>
  <si>
    <t>R009</t>
  </si>
  <si>
    <t>R012</t>
  </si>
  <si>
    <t>R015</t>
  </si>
  <si>
    <t>R017</t>
  </si>
  <si>
    <t>R020</t>
  </si>
  <si>
    <t>GingKo Nut白果罐</t>
  </si>
  <si>
    <t>GingKo Nut白果粒</t>
  </si>
  <si>
    <t>Royal M</t>
  </si>
  <si>
    <t>R039</t>
  </si>
  <si>
    <t>Orange</t>
  </si>
  <si>
    <t>Lime 酸甘</t>
  </si>
  <si>
    <t>Lime Juice 柠檬汁</t>
  </si>
  <si>
    <t>P076</t>
  </si>
  <si>
    <t>Zhu Fang Ruo (MRT)</t>
  </si>
  <si>
    <t>Indonesia</t>
  </si>
  <si>
    <t>Tong Shui Sweet Dessert</t>
  </si>
  <si>
    <t>Lotus Seed 莲子(无）</t>
  </si>
  <si>
    <t>1 kgs</t>
  </si>
  <si>
    <t>Koufu Pte Ltd</t>
  </si>
  <si>
    <t>No 18, Woodlands Terrace</t>
  </si>
  <si>
    <t>Singapore 738443</t>
  </si>
  <si>
    <t>Fusionoplis one.                                           1 Fusionopolis Way Basement 2 #B2-02 Singapore 138632                                   (Fruit)</t>
  </si>
  <si>
    <t>Dessert  Station</t>
  </si>
  <si>
    <t>#11-417 Singapore 460026</t>
  </si>
  <si>
    <t>P078</t>
  </si>
  <si>
    <t>P079</t>
  </si>
  <si>
    <t>P084</t>
  </si>
  <si>
    <t>P085</t>
  </si>
  <si>
    <t>TH</t>
  </si>
  <si>
    <t>IN</t>
  </si>
  <si>
    <t>3 kgs</t>
  </si>
  <si>
    <t>6 kgs</t>
  </si>
  <si>
    <t>12.5 kgs</t>
  </si>
  <si>
    <t>TC</t>
  </si>
  <si>
    <t>45 gms x 10PKT/Bag</t>
  </si>
  <si>
    <t>No 1</t>
  </si>
  <si>
    <t>Holland</t>
  </si>
  <si>
    <t>500/4000</t>
  </si>
  <si>
    <t>110088/5</t>
  </si>
  <si>
    <t>M020</t>
  </si>
  <si>
    <t>Food Coloring 颜色</t>
  </si>
  <si>
    <t>KHS</t>
  </si>
  <si>
    <t>Tiong Bahru Market</t>
  </si>
  <si>
    <t>Singapore 168898</t>
  </si>
  <si>
    <t>Dessert First Pte Ltd</t>
  </si>
  <si>
    <t>Tea Three Café Pte Ltd</t>
  </si>
  <si>
    <t>Block 4012, Ang Mo Kio Ave 10</t>
  </si>
  <si>
    <t>#01-05 TechPlace 1</t>
  </si>
  <si>
    <t>Singapore 569628</t>
  </si>
  <si>
    <t>Tan Soon Mui Food Industries</t>
  </si>
  <si>
    <t>8, Woodlands Terrace</t>
  </si>
  <si>
    <t>Singapore 738433</t>
  </si>
  <si>
    <t>Changi Village Hawker Centre</t>
  </si>
  <si>
    <t>Singapore 500002</t>
  </si>
  <si>
    <t>WaterWay Point                                            83 Punggol Central #02-20/21 Singapore 828761                               (Dessert)</t>
  </si>
  <si>
    <t>Tel: 67535885</t>
  </si>
  <si>
    <t>HP: 85180389 (老板娘）</t>
  </si>
  <si>
    <t>32, Woodlands Terrace</t>
  </si>
  <si>
    <t>Singapore 738452</t>
  </si>
  <si>
    <t>Tel: 65556992</t>
  </si>
  <si>
    <t>ykgaccount@yukee.com.sg</t>
  </si>
  <si>
    <t>Tel: 67567626</t>
  </si>
  <si>
    <t>Email: acc@tsmfood.com</t>
  </si>
  <si>
    <t>Spectrum Food Centre Pte Ltd</t>
  </si>
  <si>
    <t>21, Woodlands Close</t>
  </si>
  <si>
    <t>email: s111group.sg@gmail.com</t>
  </si>
  <si>
    <t>Tel: 64598187</t>
  </si>
  <si>
    <t>Tel: 64874646</t>
  </si>
  <si>
    <t>email: szecai.lee@ktcgroup.com.sg</t>
  </si>
  <si>
    <t>MiLi</t>
  </si>
  <si>
    <t>TH/Sw</t>
  </si>
  <si>
    <t>Windmill</t>
  </si>
  <si>
    <t>2552 Strawberry</t>
  </si>
  <si>
    <t>Honeydew</t>
  </si>
  <si>
    <t>Pandan (FKJ)</t>
  </si>
  <si>
    <t>Banana 23</t>
  </si>
  <si>
    <t>Peach</t>
  </si>
  <si>
    <t>567gm x 24 can</t>
  </si>
  <si>
    <t>Mango Pudding Power 芒果布丁</t>
  </si>
  <si>
    <t>30gm/pkt x 10PKT</t>
  </si>
  <si>
    <t>Star</t>
  </si>
  <si>
    <t>M021</t>
  </si>
  <si>
    <t>Water Chestnut 马蹄 - Can</t>
  </si>
  <si>
    <t>3A</t>
  </si>
  <si>
    <t>Netual Cloudifier 白色精</t>
  </si>
  <si>
    <t>INGCOD1141</t>
  </si>
  <si>
    <t>Quantity</t>
  </si>
  <si>
    <t>Packing Mehtod</t>
  </si>
  <si>
    <t>Branch</t>
  </si>
  <si>
    <t>Wolfberry 枸杞子</t>
  </si>
  <si>
    <t>FLS</t>
  </si>
  <si>
    <t>M027</t>
  </si>
  <si>
    <t>ID#87</t>
  </si>
  <si>
    <t>P095</t>
  </si>
  <si>
    <t>中</t>
  </si>
  <si>
    <t>Block 26, Chai Chee Road</t>
  </si>
  <si>
    <t>Balestier Market Pte Ltd</t>
  </si>
  <si>
    <t>Simei</t>
  </si>
  <si>
    <t>黄</t>
  </si>
  <si>
    <t xml:space="preserve">G </t>
  </si>
  <si>
    <t>ID#88</t>
  </si>
  <si>
    <t>ID#89</t>
  </si>
  <si>
    <t>1 KGS/包</t>
  </si>
  <si>
    <t>Red/红</t>
  </si>
  <si>
    <t>Green/青</t>
  </si>
  <si>
    <t>Yellow/黄</t>
  </si>
  <si>
    <t xml:space="preserve">500gm/pkt </t>
  </si>
  <si>
    <t>4L/支</t>
  </si>
  <si>
    <t>PH</t>
  </si>
  <si>
    <t>150gm x 10 pkt</t>
  </si>
  <si>
    <t>(12g x 12pkt)/盒</t>
  </si>
  <si>
    <t>Black/黑</t>
  </si>
  <si>
    <t>(500gm x 20Pkt)箱</t>
  </si>
  <si>
    <t>Marigold</t>
  </si>
  <si>
    <t>Dessert Station                                         270 Queen Street #01-41 Albert Centre. Singapore</t>
  </si>
  <si>
    <t>Carnation Milk淡奶水</t>
  </si>
  <si>
    <t>三花</t>
  </si>
  <si>
    <t>罐</t>
  </si>
  <si>
    <t>Dawn牛</t>
  </si>
  <si>
    <t>Ctn/箱</t>
  </si>
  <si>
    <t>Coco Syrup 可可</t>
  </si>
  <si>
    <t xml:space="preserve">150g/pkt </t>
  </si>
  <si>
    <t>ID#90</t>
  </si>
  <si>
    <t>Cash</t>
  </si>
  <si>
    <t>25 KGS</t>
  </si>
  <si>
    <t>ID#91</t>
  </si>
  <si>
    <t>30 DAYS</t>
  </si>
  <si>
    <t>ID#92</t>
  </si>
  <si>
    <t>Pure Milk 牛奶</t>
  </si>
  <si>
    <t>Cowhead</t>
  </si>
  <si>
    <t>(425gm x 24)/箱</t>
  </si>
  <si>
    <t>(397gm x 24)/箱</t>
  </si>
  <si>
    <t>12can/箱</t>
  </si>
  <si>
    <t>(567gm x 24)/箱</t>
  </si>
  <si>
    <t>(1L x 12bag)/箱</t>
  </si>
  <si>
    <t>(200gm x 30bag)/箱</t>
  </si>
  <si>
    <t>KAB</t>
  </si>
  <si>
    <t>KAB Blk 15, #03-10</t>
  </si>
  <si>
    <t>ID#93</t>
  </si>
  <si>
    <t>Blk 15, Woodland Loop #03-10</t>
  </si>
  <si>
    <t>Singapore 738322</t>
  </si>
  <si>
    <t xml:space="preserve"> </t>
  </si>
  <si>
    <t>ID#94</t>
  </si>
  <si>
    <t>S. Marco Food Trading Pte Ltd</t>
  </si>
  <si>
    <t>Singapore 737856</t>
  </si>
  <si>
    <t>Tel: 64510128</t>
  </si>
  <si>
    <t>S. Marco Food Trading Blk 39, #05-27</t>
  </si>
  <si>
    <t>INGCOOK241</t>
  </si>
  <si>
    <t>ID#95</t>
  </si>
  <si>
    <t>ID#96</t>
  </si>
  <si>
    <t>12.5KG/PKT X 2</t>
  </si>
  <si>
    <t>45gm x 10PKT/Bag</t>
  </si>
  <si>
    <t>ID#97</t>
  </si>
  <si>
    <t>CASH</t>
  </si>
  <si>
    <t xml:space="preserve"> #01-57</t>
  </si>
  <si>
    <t>ID#99</t>
  </si>
  <si>
    <t>ID#100</t>
  </si>
  <si>
    <t>Sin Yi Peng        #04-33</t>
  </si>
  <si>
    <t>Self collection</t>
  </si>
  <si>
    <t xml:space="preserve">Koufu - (Dim sum)                                 180, Ang Mo Kio Ave 8. Block A unit 235 Nanyang Polythenic Singapore 569830                                    </t>
  </si>
  <si>
    <t xml:space="preserve">Koufu - (Dessert)                                     180, Ang Mo Kio Ave 8. Block A unit 235 Nanyang Polythenic Singapore 569830                                      </t>
  </si>
  <si>
    <t>ID#101</t>
  </si>
  <si>
    <t>P018</t>
  </si>
  <si>
    <t>ECREATIVE CATERING PTE LTD</t>
  </si>
  <si>
    <t>Blk 15, Woodlands Loop</t>
  </si>
  <si>
    <t>#04-33 Singapore 738322</t>
  </si>
  <si>
    <t xml:space="preserve">ECREATIVE CATERING PTE LTD             Blk 15, Woodlands Loop                      #04-33   Singapore 738322                                    </t>
  </si>
  <si>
    <t xml:space="preserve">Koufu - (Drink)                                             6, Raffles Boulevard #04-101/102 Marina Square Singapore 039594                 </t>
  </si>
  <si>
    <t xml:space="preserve">Koufu - Dim Sum                                     10, Sinaran Drive #04-14 to 19,56 to 73. Novena Square 2 Singapore 307506                                             </t>
  </si>
  <si>
    <t xml:space="preserve">Koufu - Drink                                           10, Sinaran Drive #04-14 to 19,56 to 73. Novena Square 2  Singapore 307506                                       </t>
  </si>
  <si>
    <t xml:space="preserve">Koufu - Fruit                                            535 Clementi Road Block 51, Level 2 Ngee Ann Polythenic NIC Singapore 599489                    </t>
  </si>
  <si>
    <t xml:space="preserve">Koufu - Dim Sum                                    535 Clementi Road Block 51, Level 2 Ngee Ann Polythenic NIC Singapore 599489                    </t>
  </si>
  <si>
    <t xml:space="preserve">Koufu - Dessert                                      535 Clementi Road Block 51, Level 2 Ngee Ann Polythenic NIC Singapore 599489                  </t>
  </si>
  <si>
    <t xml:space="preserve">Koufu - Dessert                                        632, Bukit Batok Central #01-132 Singapore 650632                                                </t>
  </si>
  <si>
    <t xml:space="preserve">Koufu - Fruit                                                  Block 768 Woodlands Ave 6                 #01-30/31 Singapore 730768                        </t>
  </si>
  <si>
    <t xml:space="preserve">Koufu - Dim Sum                                           Block 768 Woodlands Ave 6                 #01-30/31 Singapore 730768                          </t>
  </si>
  <si>
    <t xml:space="preserve">Koufu - Drink                                         Sengkang General Community Hospital. 1 Anchorvale Street #01-21 S'pore 544835                                                                     </t>
  </si>
  <si>
    <t xml:space="preserve">Koufu - Dim Sum                                   Sengkang General Community Hospital. 1 Anchorvale Street #01-21 S'pore 544835                                                           </t>
  </si>
  <si>
    <t xml:space="preserve">Koufu - Drink                                            Block 747 Yishun 72. #01-108 Singapore 760747                                                            </t>
  </si>
  <si>
    <t xml:space="preserve">Koufu - Dim Sum                                    Block 747 Yishun 72. #01-108 Singapore 760747                                                          </t>
  </si>
  <si>
    <t>ID#102</t>
  </si>
  <si>
    <t>Combined Stall                                      Bugis Stall #16. 200 Victoria Street     #03-30. Bugis Junction. Singapore 188021</t>
  </si>
  <si>
    <t xml:space="preserve">Koufu - WoodGrove                                30, Woodlands Ave 1 #01-11 Singapore 739065     (Drink)                               </t>
  </si>
  <si>
    <t xml:space="preserve">Koufu - WoodGrove                                30, Woodlands Ave 1 #01-11 Singapore 739065     (Dim Sum)                               </t>
  </si>
  <si>
    <t>ID#103</t>
  </si>
  <si>
    <t>Asia Dessert Marketing                                       Blk 3020, Ubi Avenue 2 #02-125 Singapore 408896</t>
  </si>
  <si>
    <t>ID#105</t>
  </si>
  <si>
    <t>ID#104</t>
  </si>
  <si>
    <t>Asia Dessert Blk 3020, #02-125</t>
  </si>
  <si>
    <t>Asia Dessert Marketing</t>
  </si>
  <si>
    <t>TeL: 83398831</t>
  </si>
  <si>
    <t>(500gm x 20Pkt)包</t>
  </si>
  <si>
    <t>ID#106</t>
  </si>
  <si>
    <t xml:space="preserve">Koufu - (Dessert)                                         6, Raffles Boulevard #04-101/102 Marina Square Singapore 039594              </t>
  </si>
  <si>
    <t>KOUFU 83</t>
  </si>
  <si>
    <t>ID#107</t>
  </si>
  <si>
    <t>Koufu West Mall</t>
  </si>
  <si>
    <t>Koufu 768 f &amp; S</t>
  </si>
  <si>
    <t>Koufu Bayfront (Fruit)</t>
  </si>
  <si>
    <t>F/man 飞人</t>
  </si>
  <si>
    <t>Koufu Novena Sq 2</t>
  </si>
  <si>
    <t>Koufu 681 Punggol</t>
  </si>
  <si>
    <t>Koufu 168 Punggol</t>
  </si>
  <si>
    <t>Koufu 180 Nanyang</t>
  </si>
  <si>
    <t>Koufu Ngee Ann  (Fruit)</t>
  </si>
  <si>
    <t>Koufu Blk 267 Compassvale</t>
  </si>
  <si>
    <t>Koufu Bayfront (Dessert)</t>
  </si>
  <si>
    <t>ID#108</t>
  </si>
  <si>
    <t>Tel: 90087698                                         690 Upper changi Road East #B3-02. Upper Changi MRT Station Singapore 485990</t>
  </si>
  <si>
    <t>ID#109</t>
  </si>
  <si>
    <t>690 Upper Changi #B3-02</t>
  </si>
  <si>
    <t>４缶／箱</t>
  </si>
  <si>
    <t>ID#110</t>
  </si>
  <si>
    <t>Golden Champ</t>
  </si>
  <si>
    <t>Country  Of Origin</t>
  </si>
  <si>
    <t>Singapore</t>
  </si>
  <si>
    <t>ID#111</t>
  </si>
  <si>
    <t>ID#112</t>
  </si>
  <si>
    <t>ID#113</t>
  </si>
  <si>
    <t>Vietnam</t>
  </si>
  <si>
    <t>150gm x 4pkt</t>
  </si>
  <si>
    <t xml:space="preserve">Tel: 90294611                                   Block 417  Yishun Avenue 11. Singapore                                                       </t>
  </si>
  <si>
    <t>ID#114</t>
  </si>
  <si>
    <t>Blk 417 Yishun</t>
  </si>
  <si>
    <t>BAG</t>
  </si>
  <si>
    <t>6 Can X A10</t>
  </si>
  <si>
    <t>30, Tai Seng Street</t>
  </si>
  <si>
    <t>#09-01 Singapore 534013</t>
  </si>
  <si>
    <t>Singapore 534013</t>
  </si>
  <si>
    <t>fj_procurement@breadtalk.com</t>
  </si>
  <si>
    <t>(350gm x 24Pkt)/Bag</t>
  </si>
  <si>
    <t>Fungus黄 木耳朵</t>
  </si>
  <si>
    <t>500 GM/BAG</t>
  </si>
  <si>
    <t>5 KGS</t>
  </si>
  <si>
    <t>ID#115</t>
  </si>
  <si>
    <t>King &amp; King</t>
  </si>
  <si>
    <t>48 can/Box</t>
  </si>
  <si>
    <t>ID#117</t>
  </si>
  <si>
    <t>#09-16 Singapore 737854</t>
  </si>
  <si>
    <t>Tel: 62544887 (Ms Soo Guan)</t>
  </si>
  <si>
    <t>ID#118</t>
  </si>
  <si>
    <t xml:space="preserve">Whampoa Soya Bean                            Blk 221B Boon Lay Hawker Centre. #01-133 </t>
  </si>
  <si>
    <t>ID#119</t>
  </si>
  <si>
    <t>HOLLYWOOD                                             Blk 221B Boon Lay Hawker Centre. #01-130</t>
  </si>
  <si>
    <t>Ashley #02-48 91942898</t>
  </si>
  <si>
    <t>K&amp;B                                                                  Blk 15, Woodland Loop.                           #03-10 Singapore 738322</t>
  </si>
  <si>
    <t>YiFong</t>
  </si>
  <si>
    <t>P018A</t>
  </si>
  <si>
    <t>Tea Tree Café Pte Ltd                               Block 4012, Ang Mo Kio Ave 10         #01-05 TechPlace 1 Singapore 569628</t>
  </si>
  <si>
    <t>ID#121</t>
  </si>
  <si>
    <t>ID#122</t>
  </si>
  <si>
    <t>Give a call to Rickson before arrive.</t>
  </si>
  <si>
    <t>14-01-2020</t>
  </si>
  <si>
    <t>ID#123</t>
  </si>
  <si>
    <t>Ivy Lim 50A</t>
  </si>
  <si>
    <t>25 kgs</t>
  </si>
  <si>
    <t>ID#124</t>
  </si>
  <si>
    <t>Fine Food (Nanyang) Pte Ltd</t>
  </si>
  <si>
    <t>3 KGS</t>
  </si>
  <si>
    <t>ID#125</t>
  </si>
  <si>
    <t>HENG HENG FOOD SUPPLY</t>
  </si>
  <si>
    <t>200/ctn</t>
  </si>
  <si>
    <t>DO</t>
  </si>
  <si>
    <t>Earphone</t>
  </si>
  <si>
    <t>Chargetable lighter</t>
  </si>
  <si>
    <t>500/ctn</t>
  </si>
  <si>
    <t>US$</t>
  </si>
  <si>
    <t>30-10-2019</t>
  </si>
  <si>
    <t>PT Sefong Industries</t>
  </si>
  <si>
    <t>PT Sefong Industries Park Phase II Lot,4. Bata Ampar, Batam Island- Indonesia</t>
  </si>
  <si>
    <t>甜甜                                                            Blk 28  Jalan Klinik  #09-43 Singapore  160028</t>
  </si>
  <si>
    <t>ID#126</t>
  </si>
  <si>
    <t>BB Tea House                                          Block 640, Yishun #01-200 Singapore</t>
  </si>
  <si>
    <t>Fanny</t>
  </si>
  <si>
    <t>Tel: 97893036</t>
  </si>
  <si>
    <t>TSM</t>
  </si>
  <si>
    <t>ID#127</t>
  </si>
  <si>
    <t xml:space="preserve">Koufu - WoodGrove                                30, Woodlands Ave 1 #01-11 Singapore 739065     (DESSERT COUNTER)                               </t>
  </si>
  <si>
    <t>ID#128</t>
  </si>
  <si>
    <t>TEL: 91548191                                                                                          462 Crawford Lane #01-61 Singapore 190462</t>
  </si>
  <si>
    <t>462 Crawford</t>
  </si>
  <si>
    <t>ID#129</t>
  </si>
  <si>
    <t>ID#130</t>
  </si>
  <si>
    <t>ID#131</t>
  </si>
  <si>
    <t>Happy Hawkers Kopitiam                   622D Punggol Central,                       Singapore 824622.                                  Drink Counter</t>
  </si>
  <si>
    <t>Happy Hawkers Kopitiam                    622D Punggol Central,                      Singapore 824622.                                   Tim Sum Counter</t>
  </si>
  <si>
    <t>0622PO00020401</t>
  </si>
  <si>
    <t>ID#132</t>
  </si>
  <si>
    <t>10 Collyer Quay B1-10</t>
  </si>
  <si>
    <t>BIN</t>
  </si>
  <si>
    <t>Blk 602, Yishun St 61</t>
  </si>
  <si>
    <t>#08-379 Singapore 760602</t>
  </si>
  <si>
    <t>24-03-2020</t>
  </si>
  <si>
    <t>ID#133</t>
  </si>
  <si>
    <t>WaterWay Point                                            83 Punggol Central #02-20/21 Singapore 828761                               (DRINK STALL)</t>
  </si>
  <si>
    <t>ID#134</t>
  </si>
  <si>
    <t xml:space="preserve">FORK &amp; SPOON - Dessert                          470, Lorong 6 Toa Payoh #02-70 Singapore 310470.                                            </t>
  </si>
  <si>
    <t>ID#135</t>
  </si>
  <si>
    <t>ID#136</t>
  </si>
  <si>
    <t>777 Jurong Gateway                                 50 Jurong Gatway Road.            #05-02 Singapore                           (Dessert Counter)</t>
  </si>
  <si>
    <t>ID#137</t>
  </si>
  <si>
    <t>500 GM</t>
  </si>
  <si>
    <t>BLK 642 #01-54</t>
  </si>
  <si>
    <t>ID#138</t>
  </si>
  <si>
    <t>TEL: 83093665                                                                                            Blk 642, Bukit Batok Central #01-54/56 Singapore 650642.</t>
  </si>
  <si>
    <t>小麦草</t>
  </si>
  <si>
    <t>Malaysia</t>
  </si>
  <si>
    <t>POLAR</t>
  </si>
  <si>
    <t>CHINA</t>
  </si>
  <si>
    <t>THREE EAGLE</t>
  </si>
  <si>
    <t>1KG X 10</t>
  </si>
  <si>
    <t>60 days</t>
  </si>
  <si>
    <t>生记</t>
  </si>
  <si>
    <t>2.5 kgs</t>
  </si>
  <si>
    <t>4 KGS</t>
  </si>
  <si>
    <t>5 KG</t>
  </si>
  <si>
    <t>3 KG</t>
  </si>
  <si>
    <t>SW Thailand</t>
  </si>
  <si>
    <t>Lemongrass Ginger Concentrate Juice 香茅姜汁</t>
  </si>
  <si>
    <t>Passion Fruit Concentrate Juice 百香果汁</t>
  </si>
  <si>
    <t>Citrus Plum Concentrate Juice 柑桔梅子汁</t>
  </si>
  <si>
    <t>ID#139</t>
  </si>
  <si>
    <t>KSY TEL: 94313399                                                         #01-173 Pasir Panjang Wholesale Centre, Singapore 110023</t>
  </si>
  <si>
    <t>ID#140</t>
  </si>
  <si>
    <t>200:100</t>
  </si>
  <si>
    <t>Taiwan</t>
  </si>
  <si>
    <t>ID#141</t>
  </si>
  <si>
    <t>Zhonghua Cafe 92998953                                 51 Upper Bukit Timah MARKET #02-124 S588215</t>
  </si>
  <si>
    <t>42gm x 10PKT/Bag</t>
  </si>
  <si>
    <t>PACKED</t>
  </si>
  <si>
    <t>Sugari</t>
  </si>
  <si>
    <t>1Lt x 12 Pkt/Ctn</t>
  </si>
  <si>
    <t>China</t>
  </si>
  <si>
    <t>Japan</t>
  </si>
  <si>
    <t>Thailand</t>
  </si>
  <si>
    <t>Joy</t>
  </si>
  <si>
    <t>Aust</t>
  </si>
  <si>
    <t>Kiwi Syrup 奇异果</t>
  </si>
  <si>
    <t>Avocado 鳄梨酱</t>
  </si>
  <si>
    <t>Coconut Sugar Syrup 椰糖浆</t>
  </si>
  <si>
    <t>Bobo ChaCha Cubes 摩摩喳喳</t>
  </si>
  <si>
    <t>Chin Chow  仙草</t>
  </si>
  <si>
    <t>Chin Chow powder 仙草粉</t>
  </si>
  <si>
    <t>Dried Orange Peel 陈皮</t>
  </si>
  <si>
    <t>1983 - A TASTE OF NANYANG                         9, WOODLANDS AVENUE 9.                       SOUTH FOOD COURT LEVER 2                SINGAPORE 738964</t>
  </si>
  <si>
    <t>24-08-2020</t>
  </si>
  <si>
    <t>P056-9</t>
  </si>
  <si>
    <t>9 MM</t>
  </si>
  <si>
    <t>ID#142</t>
  </si>
  <si>
    <t>ID#143</t>
  </si>
  <si>
    <t>COD</t>
  </si>
  <si>
    <t>STANDARD PACK</t>
  </si>
  <si>
    <t>BRAND</t>
  </si>
  <si>
    <t>YAM PASTE</t>
  </si>
  <si>
    <t>#01-173   KYS</t>
  </si>
  <si>
    <t>ID#144</t>
  </si>
  <si>
    <t xml:space="preserve">Zhu Fang Ruo                                                11 Canberra Road #01-05. Singapore 759775.              </t>
  </si>
  <si>
    <t>Koufu -喜多福                                                 Blk 267 Compassvale Link                           #01-02 Singapore 540267</t>
  </si>
  <si>
    <t>640 Yishun BB Tea</t>
  </si>
  <si>
    <t>43 gms x 10PKT/Bag</t>
  </si>
  <si>
    <t>70 gms x 10pkt</t>
  </si>
  <si>
    <t>140 gms x 10 pkt</t>
  </si>
  <si>
    <t xml:space="preserve">Stall :  Blk 75, Toa Payoh 5 </t>
  </si>
  <si>
    <t>Singapore 310075</t>
  </si>
  <si>
    <t>500gm/pkt X 50</t>
  </si>
  <si>
    <t>KOPITIAM INVESTMENT PTE LTD</t>
  </si>
  <si>
    <t>ID#145</t>
  </si>
  <si>
    <t>CAFE 107</t>
  </si>
  <si>
    <t>PAYNOW: UEN201914330C</t>
  </si>
  <si>
    <t>ID#146</t>
  </si>
  <si>
    <t>Dessert Station                                        52 Hougang St 11.                         CENTRAL VIEW TOWER 2               #13-07. Singapore 538750</t>
  </si>
  <si>
    <t>SUN KEE</t>
  </si>
  <si>
    <t>ALMOND FAVOUR</t>
  </si>
  <si>
    <t>ID#147</t>
  </si>
  <si>
    <t>ID#148</t>
  </si>
  <si>
    <t>ID#149</t>
  </si>
  <si>
    <t>Circle in the box</t>
  </si>
  <si>
    <t>Circle In The Box                                                                            183 Jalan Pelikat, The Promonade        B1-28. Singapore 537643</t>
  </si>
  <si>
    <t>Bank-Branch No : 7375-446</t>
  </si>
  <si>
    <t>gm</t>
  </si>
  <si>
    <t>Food Junction Management Pte Ltd</t>
  </si>
  <si>
    <t>Food Junction Management  Pte Ltd</t>
  </si>
  <si>
    <t>Vendor  Code</t>
  </si>
  <si>
    <t>103, PASIR PANJANG ROAD</t>
  </si>
  <si>
    <t>SINGAPORE 118531</t>
  </si>
  <si>
    <t>ID#150</t>
  </si>
  <si>
    <t>IVY LIM 94881981                                                          50-A Lorong Marican Singapore 417233</t>
  </si>
  <si>
    <t>Evaporated Creamer 淡奶水</t>
  </si>
  <si>
    <t>Threeflower</t>
  </si>
  <si>
    <t>PAYNOW</t>
  </si>
  <si>
    <t>(1 kg x 12)/1 carton</t>
  </si>
  <si>
    <t>WaterWay Point                                            83 Punggol Central #02-20/21 Singapore 828761                               (DIM SUM STALL)</t>
  </si>
  <si>
    <t>MANDY TOH</t>
  </si>
  <si>
    <t>TEL: 96704006</t>
  </si>
  <si>
    <t>Food Centre #01-23</t>
  </si>
  <si>
    <t>ID#151</t>
  </si>
  <si>
    <t>YAMMIE  (MRT)</t>
  </si>
  <si>
    <t>Cheque</t>
  </si>
  <si>
    <t>Monthly/Cheque</t>
  </si>
  <si>
    <t>M1001</t>
  </si>
  <si>
    <t>M1001A</t>
  </si>
  <si>
    <t>M1001B</t>
  </si>
  <si>
    <t>M1002</t>
  </si>
  <si>
    <t>M1002A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</si>
  <si>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</si>
  <si>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</si>
  <si>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</si>
  <si>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</si>
  <si>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</si>
  <si>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</si>
  <si>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</si>
  <si>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</si>
  <si>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</si>
  <si>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</si>
  <si>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</si>
  <si>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</si>
  <si>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</si>
  <si>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</si>
  <si>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</si>
  <si>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</si>
  <si>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</si>
  <si>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TYC</t>
  </si>
  <si>
    <t>M1020</t>
  </si>
  <si>
    <t>M1021</t>
  </si>
  <si>
    <t>RICE BALL (WHITE - RED BEAN 红豆)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</si>
  <si>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</si>
  <si>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</si>
  <si>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</si>
  <si>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</si>
  <si>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</si>
  <si>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</si>
  <si>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</si>
  <si>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</si>
  <si>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P1001</t>
  </si>
  <si>
    <t>P1001A</t>
  </si>
  <si>
    <t>P1002</t>
  </si>
  <si>
    <t>P1003</t>
  </si>
  <si>
    <t>P1004</t>
  </si>
  <si>
    <t>P1005</t>
  </si>
  <si>
    <t>P1006</t>
  </si>
  <si>
    <t>P1007</t>
  </si>
  <si>
    <t>P1006A</t>
  </si>
  <si>
    <t>P1007A</t>
  </si>
  <si>
    <t>P2001</t>
  </si>
  <si>
    <t>P2001A</t>
  </si>
  <si>
    <t>P2001B</t>
  </si>
  <si>
    <t>P2002</t>
  </si>
  <si>
    <t>P2002A</t>
  </si>
  <si>
    <t>P2002B</t>
  </si>
  <si>
    <t>Almond Powder - 杏仁粉- Yellow- Jelly A</t>
  </si>
  <si>
    <t>P2003</t>
  </si>
  <si>
    <t>P2003A</t>
  </si>
  <si>
    <t>P2004</t>
  </si>
  <si>
    <t>20BOX/CARTON</t>
  </si>
  <si>
    <t>P2004A</t>
  </si>
  <si>
    <t>P2005</t>
  </si>
  <si>
    <t>P2006</t>
  </si>
  <si>
    <t>`</t>
  </si>
  <si>
    <t>P2006A</t>
  </si>
  <si>
    <t>10PKT X 200 GM/BAG</t>
  </si>
  <si>
    <t>P2006B</t>
  </si>
  <si>
    <t>200 GM</t>
  </si>
  <si>
    <t>P2007</t>
  </si>
  <si>
    <t>P2007A</t>
  </si>
  <si>
    <t>P2007B</t>
  </si>
  <si>
    <t>P2008</t>
  </si>
  <si>
    <t>P2008A</t>
  </si>
  <si>
    <t>P2008B</t>
  </si>
  <si>
    <t>BOTTLE</t>
  </si>
  <si>
    <t>TUE</t>
  </si>
  <si>
    <t>P2009</t>
  </si>
  <si>
    <t>P2010</t>
  </si>
  <si>
    <t>P2010A</t>
  </si>
  <si>
    <t>NESTLE</t>
  </si>
  <si>
    <t>12 KGS/CARTON</t>
  </si>
  <si>
    <t>1 KG/PKT</t>
  </si>
  <si>
    <t>P2011</t>
  </si>
  <si>
    <t>P2011A</t>
  </si>
  <si>
    <t>RE-PACK</t>
  </si>
  <si>
    <t>P2011B</t>
  </si>
  <si>
    <t>P2011C</t>
  </si>
  <si>
    <t>P2012</t>
  </si>
  <si>
    <t>P2012A</t>
  </si>
  <si>
    <t>P2013</t>
  </si>
  <si>
    <t>P2014</t>
  </si>
  <si>
    <t>P2014A</t>
  </si>
  <si>
    <t>P2015</t>
  </si>
  <si>
    <t>P2016</t>
  </si>
  <si>
    <t>P2016A</t>
  </si>
  <si>
    <t>P2017</t>
  </si>
  <si>
    <t>P2018</t>
  </si>
  <si>
    <t>WORLDWIDE</t>
  </si>
  <si>
    <t>P2019</t>
  </si>
  <si>
    <t>P2019A</t>
  </si>
  <si>
    <t>P2020</t>
  </si>
  <si>
    <t>Wheat Starch 澄面粉</t>
  </si>
  <si>
    <t>P2020A</t>
  </si>
  <si>
    <t>P2021</t>
  </si>
  <si>
    <t>P2022</t>
  </si>
  <si>
    <t>P2023</t>
  </si>
  <si>
    <t>P2024</t>
  </si>
  <si>
    <t>P2025</t>
  </si>
  <si>
    <t>P2027</t>
  </si>
  <si>
    <t>P2028</t>
  </si>
  <si>
    <t>TAIWAN</t>
  </si>
  <si>
    <t>P3001</t>
  </si>
  <si>
    <t>P3001A</t>
  </si>
  <si>
    <t>P3001B</t>
  </si>
  <si>
    <t>P3001C</t>
  </si>
  <si>
    <t>P3002</t>
  </si>
  <si>
    <t>P3003</t>
  </si>
  <si>
    <t>P3004</t>
  </si>
  <si>
    <t>P3004A</t>
  </si>
  <si>
    <t>P3005</t>
  </si>
  <si>
    <t>P3005A</t>
  </si>
  <si>
    <t>P3005B</t>
  </si>
  <si>
    <t>P3005C</t>
  </si>
  <si>
    <t>P3005D</t>
  </si>
  <si>
    <t>P3006</t>
  </si>
  <si>
    <t>P3006A</t>
  </si>
  <si>
    <t>P3006B</t>
  </si>
  <si>
    <t>P3007</t>
  </si>
  <si>
    <t>P3007A</t>
  </si>
  <si>
    <t>P3008</t>
  </si>
  <si>
    <t>P3008A</t>
  </si>
  <si>
    <t>P3008B</t>
  </si>
  <si>
    <t>P3009</t>
  </si>
  <si>
    <t>P3009A</t>
  </si>
  <si>
    <t>P3009B</t>
  </si>
  <si>
    <t>P3009C</t>
  </si>
  <si>
    <t>P3010</t>
  </si>
  <si>
    <t>P3011</t>
  </si>
  <si>
    <t>P3012</t>
  </si>
  <si>
    <t>P3012A</t>
  </si>
  <si>
    <t>P3012B</t>
  </si>
  <si>
    <t>P3012C</t>
  </si>
  <si>
    <t>P3012D</t>
  </si>
  <si>
    <t>P3012E</t>
  </si>
  <si>
    <t>P3013</t>
  </si>
  <si>
    <t>P3013A</t>
  </si>
  <si>
    <t>P3013B</t>
  </si>
  <si>
    <t>P3013C</t>
  </si>
  <si>
    <t>P3014</t>
  </si>
  <si>
    <t>P3014A</t>
  </si>
  <si>
    <t>P3014B</t>
  </si>
  <si>
    <t>P3014C</t>
  </si>
  <si>
    <t>P3015</t>
  </si>
  <si>
    <t>P3016</t>
  </si>
  <si>
    <t>P3016A</t>
  </si>
  <si>
    <t>P3016B</t>
  </si>
  <si>
    <t>P3017</t>
  </si>
  <si>
    <t>P3017A</t>
  </si>
  <si>
    <t>P3017B</t>
  </si>
  <si>
    <t>P3017C</t>
  </si>
  <si>
    <t>P3018</t>
  </si>
  <si>
    <t>P3018A</t>
  </si>
  <si>
    <t>P3018B</t>
  </si>
  <si>
    <t>P3019</t>
  </si>
  <si>
    <t>P3019A</t>
  </si>
  <si>
    <t>P3020</t>
  </si>
  <si>
    <t>10 KGS</t>
  </si>
  <si>
    <t>P3020A</t>
  </si>
  <si>
    <t>P3021</t>
  </si>
  <si>
    <t>P3022</t>
  </si>
  <si>
    <t>P3023</t>
  </si>
  <si>
    <t>P3024</t>
  </si>
  <si>
    <t>P3025</t>
  </si>
  <si>
    <t>P3025A</t>
  </si>
  <si>
    <t>P3026</t>
  </si>
  <si>
    <t>P3027</t>
  </si>
  <si>
    <t>P3028</t>
  </si>
  <si>
    <t>Chrysanthemum 菊花</t>
  </si>
  <si>
    <t>P3029</t>
  </si>
  <si>
    <t>P3030</t>
  </si>
  <si>
    <t>150g X 60PKTS</t>
  </si>
  <si>
    <t>P3030A</t>
  </si>
  <si>
    <t>150g/pkt X 40 PKTS</t>
  </si>
  <si>
    <t>P3031</t>
  </si>
  <si>
    <t>P3031A</t>
  </si>
  <si>
    <t>P3032</t>
  </si>
  <si>
    <t>3KGS X 10 PKTS</t>
  </si>
  <si>
    <t>P3032A</t>
  </si>
  <si>
    <t>P3033</t>
  </si>
  <si>
    <t>P3034</t>
  </si>
  <si>
    <t>P3034A</t>
  </si>
  <si>
    <t>P3035</t>
  </si>
  <si>
    <t>P3036</t>
  </si>
  <si>
    <t>P3037</t>
  </si>
  <si>
    <t>P3038</t>
  </si>
  <si>
    <t>P3039</t>
  </si>
  <si>
    <t>P3040</t>
  </si>
  <si>
    <t>P3041</t>
  </si>
  <si>
    <t>P3042</t>
  </si>
  <si>
    <t>P3043</t>
  </si>
  <si>
    <t>P3044</t>
  </si>
  <si>
    <t>P3045</t>
  </si>
  <si>
    <t>P3046</t>
  </si>
  <si>
    <t>P3047</t>
  </si>
  <si>
    <t>Liquorice 甘草</t>
  </si>
  <si>
    <t>P3048</t>
  </si>
  <si>
    <t>Ginseng 人参</t>
  </si>
  <si>
    <t>P3049</t>
  </si>
  <si>
    <t>Honeysuckle 金银花</t>
  </si>
  <si>
    <t>P3050</t>
  </si>
  <si>
    <t>Fritillary 川贝</t>
  </si>
  <si>
    <t>P3051</t>
  </si>
  <si>
    <t>Sweet Almond 南杏</t>
  </si>
  <si>
    <t>P3052</t>
  </si>
  <si>
    <t>Bitter Almond 北杏</t>
  </si>
  <si>
    <t>P3053</t>
  </si>
  <si>
    <t>Black Date 黑枣</t>
  </si>
  <si>
    <t>P3054</t>
  </si>
  <si>
    <t>China Barley 中国薏米</t>
  </si>
  <si>
    <t>P3055</t>
  </si>
  <si>
    <t>P3056</t>
  </si>
  <si>
    <t>Premium Figs 无花果</t>
  </si>
  <si>
    <t>P3057</t>
  </si>
  <si>
    <t>Flatted Orange 橘饼</t>
  </si>
  <si>
    <t>P3058</t>
  </si>
  <si>
    <t>P4001</t>
  </si>
  <si>
    <t>P4001A</t>
  </si>
  <si>
    <t>P4002</t>
  </si>
  <si>
    <t>P4002A</t>
  </si>
  <si>
    <t>CAN</t>
  </si>
  <si>
    <t>P4003</t>
  </si>
  <si>
    <t>P4003A</t>
  </si>
  <si>
    <t>P4004</t>
  </si>
  <si>
    <t>P4004A</t>
  </si>
  <si>
    <t>P4005</t>
  </si>
  <si>
    <t>P4005A</t>
  </si>
  <si>
    <t>P4006</t>
  </si>
  <si>
    <t>P4006A</t>
  </si>
  <si>
    <t>P4007</t>
  </si>
  <si>
    <t>P4008</t>
  </si>
  <si>
    <t>P4009</t>
  </si>
  <si>
    <t>P4009A</t>
  </si>
  <si>
    <t>P4009B</t>
  </si>
  <si>
    <t>567 GM/CAN</t>
  </si>
  <si>
    <t>P4010</t>
  </si>
  <si>
    <t>P4011</t>
  </si>
  <si>
    <t>P4012</t>
  </si>
  <si>
    <t>P4013</t>
  </si>
  <si>
    <t>P4014</t>
  </si>
  <si>
    <t>P4014A</t>
  </si>
  <si>
    <t>P4015</t>
  </si>
  <si>
    <t>P4015A</t>
  </si>
  <si>
    <t>P4016</t>
  </si>
  <si>
    <t>P4016A</t>
  </si>
  <si>
    <t>P4018</t>
  </si>
  <si>
    <t>P4018A</t>
  </si>
  <si>
    <t>P4019</t>
  </si>
  <si>
    <t>P4019A</t>
  </si>
  <si>
    <t>Sweetened Creamer 练奶</t>
  </si>
  <si>
    <t>P4020</t>
  </si>
  <si>
    <t>P4020A</t>
  </si>
  <si>
    <t>P4021</t>
  </si>
  <si>
    <t>P4022</t>
  </si>
  <si>
    <t>P4023</t>
  </si>
  <si>
    <t>P4024</t>
  </si>
  <si>
    <t>P4025</t>
  </si>
  <si>
    <t>Peaches Halves 桃畔</t>
  </si>
  <si>
    <t>South Africa</t>
  </si>
  <si>
    <t>Hosen</t>
  </si>
  <si>
    <t>12can x 825G/Carton</t>
  </si>
  <si>
    <t>P4026</t>
  </si>
  <si>
    <t>P4027</t>
  </si>
  <si>
    <t>P4028</t>
  </si>
  <si>
    <t>P4029</t>
  </si>
  <si>
    <t>P4030</t>
  </si>
  <si>
    <t>P4030A</t>
  </si>
  <si>
    <t>P4031</t>
  </si>
  <si>
    <t>P4032</t>
  </si>
  <si>
    <t>P4033</t>
  </si>
  <si>
    <t>P4034</t>
  </si>
  <si>
    <t>P4035</t>
  </si>
  <si>
    <t>P4036</t>
  </si>
  <si>
    <t>P4037</t>
  </si>
  <si>
    <t>P4038</t>
  </si>
  <si>
    <t>P4039</t>
  </si>
  <si>
    <t>P4040</t>
  </si>
  <si>
    <t>P4041</t>
  </si>
  <si>
    <t>P4042</t>
  </si>
  <si>
    <t>P4043</t>
  </si>
  <si>
    <t>P4044</t>
  </si>
  <si>
    <t>P4045</t>
  </si>
  <si>
    <t>Honey Longan syrup</t>
  </si>
  <si>
    <t>P5001</t>
  </si>
  <si>
    <t>P5001A</t>
  </si>
  <si>
    <t>P5002</t>
  </si>
  <si>
    <t>P5002A</t>
  </si>
  <si>
    <t>P5003</t>
  </si>
  <si>
    <t>P5003A</t>
  </si>
  <si>
    <t>P5004</t>
  </si>
  <si>
    <t>P5005</t>
  </si>
  <si>
    <t>P5006</t>
  </si>
  <si>
    <t>P5007</t>
  </si>
  <si>
    <t>P5007A</t>
  </si>
  <si>
    <t>P5008</t>
  </si>
  <si>
    <t>P5009</t>
  </si>
  <si>
    <t>P5010</t>
  </si>
  <si>
    <t>P5011</t>
  </si>
  <si>
    <t>P5011A</t>
  </si>
  <si>
    <t>P5012</t>
  </si>
  <si>
    <t>P5013</t>
  </si>
  <si>
    <t>pkt</t>
  </si>
  <si>
    <t>P6001</t>
  </si>
  <si>
    <t>P6002</t>
  </si>
  <si>
    <t>P6003</t>
  </si>
  <si>
    <t>P6004</t>
  </si>
  <si>
    <t>P6005</t>
  </si>
  <si>
    <t>P6006</t>
  </si>
  <si>
    <t>P6007</t>
  </si>
  <si>
    <t>P6008</t>
  </si>
  <si>
    <t>P6011</t>
  </si>
  <si>
    <t>P6014</t>
  </si>
  <si>
    <t>P6009</t>
  </si>
  <si>
    <t>P6010</t>
  </si>
  <si>
    <t>P6012</t>
  </si>
  <si>
    <t>P6013</t>
  </si>
  <si>
    <t>P7001</t>
  </si>
  <si>
    <t>P7002</t>
  </si>
  <si>
    <t>P7003</t>
  </si>
  <si>
    <t>P7004</t>
  </si>
  <si>
    <t>P7005</t>
  </si>
  <si>
    <t>P7006</t>
  </si>
  <si>
    <t>P7007</t>
  </si>
  <si>
    <t>P7008</t>
  </si>
  <si>
    <t>P7009</t>
  </si>
  <si>
    <t>P7010</t>
  </si>
  <si>
    <t>P7011</t>
  </si>
  <si>
    <t>P7012</t>
  </si>
  <si>
    <t>P7013</t>
  </si>
  <si>
    <t>P7014</t>
  </si>
  <si>
    <t>P7015</t>
  </si>
  <si>
    <t>P7016</t>
  </si>
  <si>
    <t>P7017</t>
  </si>
  <si>
    <t>P7018</t>
  </si>
  <si>
    <t>P7019</t>
  </si>
  <si>
    <t>P7020</t>
  </si>
  <si>
    <t>P7021</t>
  </si>
  <si>
    <t>P7022</t>
  </si>
  <si>
    <t>450ml</t>
  </si>
  <si>
    <t>P7023</t>
  </si>
  <si>
    <t>Durian</t>
  </si>
  <si>
    <t>P7024</t>
  </si>
  <si>
    <t>1 lt/btl</t>
  </si>
  <si>
    <t>P8001</t>
  </si>
  <si>
    <t>Combined Stalls                                          No 1 Harbourfont Centre, Maritime Centre #03-01/04 Singapore 099253</t>
  </si>
  <si>
    <t>P3027A</t>
  </si>
  <si>
    <t>Blk 632</t>
  </si>
  <si>
    <t>2 KG</t>
  </si>
  <si>
    <t>ID#152</t>
  </si>
  <si>
    <t>M1023A</t>
  </si>
  <si>
    <t>M1024A</t>
  </si>
  <si>
    <t>Catholic College</t>
  </si>
  <si>
    <t>ID#153</t>
  </si>
  <si>
    <t>Paynow</t>
  </si>
  <si>
    <t>ATTN: MS Jaslin</t>
  </si>
  <si>
    <t>P3030B</t>
  </si>
  <si>
    <t>ID#154</t>
  </si>
  <si>
    <t>ID#155</t>
  </si>
  <si>
    <t>CHEF RICKSON'S KITCHEN (Ally)                  Blk 177, Bishan Street 13 #04-177 Singapore 570177</t>
  </si>
  <si>
    <t>ID#156</t>
  </si>
  <si>
    <t>AAA</t>
  </si>
  <si>
    <t>INGCOD1123</t>
  </si>
  <si>
    <t>M1014A</t>
  </si>
  <si>
    <t>Chendol CUSTOM MADE 浆咯</t>
  </si>
  <si>
    <t>6月1日起调整价钱</t>
  </si>
  <si>
    <t>ID#157</t>
  </si>
  <si>
    <t>P5012A</t>
  </si>
  <si>
    <t>500 GM/CAN</t>
  </si>
  <si>
    <t>P3059</t>
  </si>
  <si>
    <t>Balester 411</t>
  </si>
  <si>
    <t xml:space="preserve">Kidney Beans </t>
  </si>
  <si>
    <t>P4046</t>
  </si>
  <si>
    <t>6月1日起调整价钱 (PRICE ADJUSTMENT)</t>
  </si>
  <si>
    <t>P4017</t>
  </si>
  <si>
    <t>7月1日起调整价钱</t>
  </si>
  <si>
    <t>P1009</t>
  </si>
  <si>
    <t>P1010</t>
  </si>
  <si>
    <t>USA</t>
  </si>
  <si>
    <t>P2029</t>
  </si>
  <si>
    <t>S111 Pte Ltd                                              No 39, Greenwich Drive. #01-12  Blk 8, Tampines Logistics Hub  Singapore 533863.</t>
  </si>
  <si>
    <t>4/07/2021起价格变更</t>
  </si>
  <si>
    <t>S111 PTE LTD</t>
  </si>
  <si>
    <t>TOW SUAN</t>
  </si>
  <si>
    <t>BUBOR HITAM</t>
  </si>
  <si>
    <t>BUBOR TERIGU</t>
  </si>
  <si>
    <t>SAMPLE</t>
  </si>
  <si>
    <t>FOODGLE HUB</t>
  </si>
  <si>
    <t>P8002</t>
  </si>
  <si>
    <t>P8003</t>
  </si>
  <si>
    <t>P8004</t>
  </si>
  <si>
    <t>Green Bean Soup 绿豆</t>
  </si>
  <si>
    <t>Red Beam Soup</t>
  </si>
  <si>
    <t>P8005</t>
  </si>
  <si>
    <t>P8006</t>
  </si>
  <si>
    <t>Sweet Potato Soup</t>
  </si>
  <si>
    <t>P8007</t>
  </si>
  <si>
    <t>Dessert Syrup</t>
  </si>
  <si>
    <t>P8008</t>
  </si>
  <si>
    <t xml:space="preserve">Steam Sweet Potato </t>
  </si>
  <si>
    <t>4 kgs</t>
  </si>
  <si>
    <t>ID#158</t>
  </si>
  <si>
    <t>ID#159</t>
  </si>
  <si>
    <t>P8009</t>
  </si>
  <si>
    <t>P2030</t>
  </si>
  <si>
    <t>FISH BRAND</t>
  </si>
  <si>
    <t>ID#160</t>
  </si>
  <si>
    <t>COMME ME DAS</t>
  </si>
  <si>
    <t>GIRO</t>
  </si>
  <si>
    <t>P2031</t>
  </si>
  <si>
    <t>P2008C</t>
  </si>
  <si>
    <t>150 GM</t>
  </si>
  <si>
    <t>P2032</t>
  </si>
  <si>
    <t>P2033</t>
  </si>
  <si>
    <t>ID#161</t>
  </si>
  <si>
    <t>HOME TOWN PTE LTD                                                                    Blk 15, Woodlands Loop.                                      #01-59 Singapore 738322</t>
  </si>
  <si>
    <t>HOME TOWN #01-59</t>
  </si>
  <si>
    <t>VIETNAM</t>
  </si>
  <si>
    <t>FJ</t>
  </si>
  <si>
    <t>ID#162</t>
  </si>
  <si>
    <t xml:space="preserve">Koufu Pte Ltd- DRINK STALL                                      Millenia Walk, 9 Raffle Boulevard #01-46                                                    Singapore 039596                                                                        </t>
  </si>
  <si>
    <t>ID#163</t>
  </si>
  <si>
    <t xml:space="preserve">PS Seiko Pte Ltd                                                    2, Woodlands Sector, #05-23/25 Woodlands Spectrum 1                                     SINGAPORe 738068          </t>
  </si>
  <si>
    <t>ID#164</t>
  </si>
  <si>
    <t>M1033</t>
  </si>
  <si>
    <t>M1030</t>
  </si>
  <si>
    <t>M1031</t>
  </si>
  <si>
    <t>M1032</t>
  </si>
  <si>
    <t>M1034</t>
  </si>
  <si>
    <t>P4047</t>
  </si>
  <si>
    <t>ID#165</t>
  </si>
  <si>
    <t>Mr. Seow</t>
  </si>
  <si>
    <t>HP: 92786338</t>
  </si>
  <si>
    <t>Goodwoof</t>
  </si>
  <si>
    <t>P4048</t>
  </si>
  <si>
    <t>P4048A</t>
  </si>
  <si>
    <t>Golden boy</t>
  </si>
  <si>
    <t>A10 x 6</t>
  </si>
  <si>
    <t>A10 x 1</t>
  </si>
  <si>
    <t>P3037A</t>
  </si>
  <si>
    <t>7 MM</t>
  </si>
  <si>
    <t>P3032B</t>
  </si>
  <si>
    <t>P3006C</t>
  </si>
  <si>
    <t>1月1日起调整价钱</t>
  </si>
  <si>
    <t>KOUFU GROUP LIMITED</t>
  </si>
  <si>
    <t>1, WOODLANDS HEIGH #07-01</t>
  </si>
  <si>
    <t>SINGAPORE 737859</t>
  </si>
  <si>
    <t>Tel: 65060161</t>
  </si>
  <si>
    <t>Fax: 67521811</t>
  </si>
  <si>
    <t xml:space="preserve">   </t>
  </si>
  <si>
    <t>P3060</t>
  </si>
  <si>
    <t>100 GM</t>
  </si>
  <si>
    <t xml:space="preserve">Koufu- Dessert                                                         Block 500, Toa Payoh Centre. Lorong 6     #02-30   Singapore 310500                                         </t>
  </si>
  <si>
    <t>P4049</t>
  </si>
  <si>
    <t>KOUFU PTE LTD</t>
  </si>
  <si>
    <t>KOUFU PTE LIMITED</t>
  </si>
  <si>
    <t>P3061</t>
  </si>
  <si>
    <t>30-12-2021</t>
  </si>
  <si>
    <t>P3062</t>
  </si>
  <si>
    <t>FOOD REPUBLIC</t>
  </si>
  <si>
    <t>P5014</t>
  </si>
  <si>
    <t>ID#166</t>
  </si>
  <si>
    <t>FOOD REPUBLIC PTE LTD</t>
  </si>
  <si>
    <t xml:space="preserve">30, TAI SENG STREET #09-01 </t>
  </si>
  <si>
    <t>BREADTALK IHQ</t>
  </si>
  <si>
    <t>SINGAPORE 534013</t>
  </si>
  <si>
    <t>ID#167</t>
  </si>
  <si>
    <t>ID#168</t>
  </si>
  <si>
    <t>ID#169</t>
  </si>
  <si>
    <t>ID#170</t>
  </si>
  <si>
    <t>ID#171</t>
  </si>
  <si>
    <t>ID#172</t>
  </si>
  <si>
    <t>ID#173</t>
  </si>
  <si>
    <t>ID#174</t>
  </si>
  <si>
    <t>ID#175</t>
  </si>
  <si>
    <t>ID#176</t>
  </si>
  <si>
    <t>ID#177</t>
  </si>
  <si>
    <t xml:space="preserve">FOOD REPUBLIC PTE LTD                                  IHQ Tai Seng @Drink Stall No 02              30, Tai Seng Street #01-06            Breadtalk IHQ,   Singapore 534013                            </t>
  </si>
  <si>
    <t>ID#178</t>
  </si>
  <si>
    <t>INGSUGR004</t>
  </si>
  <si>
    <t>P4050</t>
  </si>
  <si>
    <t>GOLDEN CHAMP</t>
  </si>
  <si>
    <t>SELETAR COUNTRY CLUB</t>
  </si>
  <si>
    <t>ID#179</t>
  </si>
  <si>
    <t>SELETAR COUNTRY CLUB                                   101, Seletar Club Road. Singapore 798273</t>
  </si>
  <si>
    <t>Seletar Country Club</t>
  </si>
  <si>
    <t>101, Seletar Club Road</t>
  </si>
  <si>
    <t>Singapore 798273</t>
  </si>
  <si>
    <t>FG000743</t>
  </si>
  <si>
    <t>FP000205</t>
  </si>
  <si>
    <t>FP000298</t>
  </si>
  <si>
    <t>FP000345</t>
  </si>
  <si>
    <t>M1032A</t>
  </si>
  <si>
    <t>M1033A</t>
  </si>
  <si>
    <t>M1035</t>
  </si>
  <si>
    <t>AD</t>
  </si>
  <si>
    <t>ID#180</t>
  </si>
  <si>
    <t>KEN HONG SENG PTE LTD                                   15, WOODLANDS LOOP #01-58/60 SINGAPORE 738322</t>
  </si>
  <si>
    <t>M1036</t>
  </si>
  <si>
    <t>M1036A</t>
  </si>
  <si>
    <t>M1036B</t>
  </si>
  <si>
    <t>M1036C</t>
  </si>
  <si>
    <t>M1036D</t>
  </si>
  <si>
    <t>M1036F</t>
  </si>
  <si>
    <t>T1</t>
  </si>
  <si>
    <t>26-01-2022</t>
  </si>
  <si>
    <t>TTCPO-7841</t>
  </si>
  <si>
    <t xml:space="preserve">REMARK: effective 1/01/2022, the packing weight for BoBo ChaCha Cubes will reduce to 800 gm instead </t>
  </si>
  <si>
    <t>instead of 1kg due to raw material cost increase.</t>
  </si>
  <si>
    <t>ID#181</t>
  </si>
  <si>
    <t>C/O NTUC ENTERPRISE NEXUS</t>
  </si>
  <si>
    <t xml:space="preserve">CO-OPERATIVE LIMITED </t>
  </si>
  <si>
    <t>1, JOO KOON CIRCLE #11-02</t>
  </si>
  <si>
    <t>SINGAPORE 629117</t>
  </si>
  <si>
    <t>45 DAYS</t>
  </si>
  <si>
    <t>P4051</t>
  </si>
  <si>
    <t>P3025B</t>
  </si>
  <si>
    <t xml:space="preserve">FOOD REPUBLIC PTE LTD                                   Parkway Parade @Juice Bar                     80 Marine Parade Road #B1-85        Singapore 449269                            </t>
  </si>
  <si>
    <t>NOTE:</t>
  </si>
  <si>
    <t>ID#182</t>
  </si>
  <si>
    <t>Deli Asia (S) Pte Ltd</t>
  </si>
  <si>
    <t>Singapore 737859</t>
  </si>
  <si>
    <t>P3063</t>
  </si>
  <si>
    <t>P4052</t>
  </si>
  <si>
    <t>COST</t>
  </si>
  <si>
    <t>1, WOODLANDS HEIGHT #07-01</t>
  </si>
  <si>
    <t>MARGIN</t>
  </si>
  <si>
    <t>AMOUNT</t>
  </si>
  <si>
    <t>M1003R</t>
  </si>
  <si>
    <t>M1002R</t>
  </si>
  <si>
    <t>P2007C</t>
  </si>
  <si>
    <t>35gms x 10 pkt</t>
  </si>
  <si>
    <t>P2011D</t>
  </si>
  <si>
    <t>M1001R</t>
  </si>
  <si>
    <t>P2019B</t>
  </si>
  <si>
    <t>P2019C</t>
  </si>
  <si>
    <t>P2034</t>
  </si>
  <si>
    <t>TOP</t>
  </si>
  <si>
    <t>WHEAT FLOUR</t>
  </si>
  <si>
    <t>MESONA LIQUID (GLASS JELLY)</t>
  </si>
  <si>
    <t>EGG PUDDING POWDER</t>
  </si>
  <si>
    <t>TOSU</t>
  </si>
  <si>
    <t>P3005E</t>
  </si>
  <si>
    <t>P3007B</t>
  </si>
  <si>
    <t>P3035A</t>
  </si>
  <si>
    <t>P4053</t>
  </si>
  <si>
    <t>P4054</t>
  </si>
  <si>
    <t>ID#183</t>
  </si>
  <si>
    <t xml:space="preserve">TEL: 90087698                                                 6 Changi Business Park Avenue 1,                  #01-23 ESR BizPark @Changi                Singapore 486017                </t>
  </si>
  <si>
    <t>TEL: 94554294</t>
  </si>
  <si>
    <t xml:space="preserve">Spectrum Food Centre Pte Ltd               No.2 Woodlands Sector 1. #01-28  Woodlands Spectrum 1. Singapore 738068              </t>
  </si>
  <si>
    <t>FP000206</t>
  </si>
  <si>
    <t>FP000207</t>
  </si>
  <si>
    <t>P4055</t>
  </si>
  <si>
    <t>30 Days</t>
  </si>
  <si>
    <t>ID#184</t>
  </si>
  <si>
    <t xml:space="preserve">Yew Ming Trading Pte Ltd                                               Blk Pasir Panjang Wholesale Centre               #01-108/109            Singapore 110017             </t>
  </si>
  <si>
    <t>ID#185</t>
  </si>
  <si>
    <t xml:space="preserve">FOOD REPUBLIC PTE LTD                                   ION Orchard @ Juice Bar No: #26               2, Orchard Turn #B4-03/04        Singapore 238801                                           </t>
  </si>
  <si>
    <t xml:space="preserve">1, Woodlands Height #01-03 </t>
  </si>
  <si>
    <t>p3060</t>
  </si>
  <si>
    <t>HP: 85430143</t>
  </si>
  <si>
    <t>P3003A</t>
  </si>
  <si>
    <t>A1 粉</t>
  </si>
  <si>
    <t>小ball ball</t>
  </si>
  <si>
    <t>P4056</t>
  </si>
  <si>
    <t>Spectrum</t>
  </si>
  <si>
    <t>P3064</t>
  </si>
  <si>
    <t>SUN</t>
  </si>
  <si>
    <t>Wintermelon</t>
  </si>
  <si>
    <t>GOODWOOF PTE. LTD.</t>
  </si>
  <si>
    <t>七色jelly</t>
  </si>
  <si>
    <t>M1037A</t>
  </si>
  <si>
    <t xml:space="preserve">Koufu - Dim Sum                                                     Block 500, Toa Payoh Centre. Lorong 6     #02-30  Singapore 310500                                                                </t>
  </si>
  <si>
    <t xml:space="preserve">Koufu - Dim Sum                                     Block 118 Rivervale Drive,                  #02-15/16 Rivervale Plaza     Singapore 540118                              </t>
  </si>
  <si>
    <t>Wheat Grass 小麦草</t>
  </si>
  <si>
    <t>400GM</t>
  </si>
  <si>
    <t>INGCOD1001</t>
  </si>
  <si>
    <t>ID#186</t>
  </si>
  <si>
    <t>BEVSRUP004</t>
  </si>
  <si>
    <t>P6015</t>
  </si>
  <si>
    <t>Pumpkin Gourd 金瓜</t>
  </si>
  <si>
    <t>P5002B</t>
  </si>
  <si>
    <t>P2035</t>
  </si>
  <si>
    <t>CHEESE MOUSSE POWDER</t>
  </si>
  <si>
    <r>
      <t xml:space="preserve">Balestier Market Pte Ltd                      411, Balestier Road.                          Singapore 329930                                     </t>
    </r>
    <r>
      <rPr>
        <b/>
        <sz val="11"/>
        <color rgb="FF000000"/>
        <rFont val="Calibri"/>
        <family val="2"/>
        <scheme val="minor"/>
      </rPr>
      <t xml:space="preserve"> (Dessert Stall) </t>
    </r>
  </si>
  <si>
    <t>12 CAN/CARTON</t>
  </si>
  <si>
    <t xml:space="preserve">FOOD REPUBLIC PTE LTD                                   Suntec City@Juice Bar                                            3, Temasek Boulevard #B1-115             Suntec City Mall Singapore 038983                          </t>
  </si>
  <si>
    <t>Happy Hawker                                                   Block 132 Jurong East  #01-271      Singapore 600132                                               (Dessert)</t>
  </si>
  <si>
    <t xml:space="preserve">Koufu - DIM SUM                                          Block 168 Punggol Field #01-01      Punggol Plaza Singapore 820168               </t>
  </si>
  <si>
    <t xml:space="preserve">Koufu - Drink                                                 Block 768 Woodlands Ave 6                     #01-30/31 Singapore 730768                         </t>
  </si>
  <si>
    <t>5 X 100 GM</t>
  </si>
  <si>
    <t>P5003C</t>
  </si>
  <si>
    <t>INGCOD1400</t>
  </si>
  <si>
    <t>LUNCH BOXES</t>
  </si>
  <si>
    <t>1/9 起调整价钱</t>
  </si>
  <si>
    <t>Ronnie Kitchen</t>
  </si>
  <si>
    <t>Coral Weed 海草</t>
  </si>
  <si>
    <t>p3062</t>
  </si>
  <si>
    <t>Original Konjac Ball</t>
  </si>
  <si>
    <t>Black Sugar Konjac Ball</t>
  </si>
  <si>
    <t>Green Mung Bean Starch 绿豆粉</t>
  </si>
  <si>
    <t xml:space="preserve">Plain Flour 面粉 </t>
  </si>
  <si>
    <t>订单金额低于 100 新元的订单将收取送货附加费 (10 新元)。</t>
  </si>
  <si>
    <t>Rong Hua 10 Ubi</t>
  </si>
  <si>
    <t>ID#187</t>
  </si>
  <si>
    <t>Super Tea (S) Pte Ltd</t>
  </si>
  <si>
    <t>1, Woodlands Height, #07-01</t>
  </si>
  <si>
    <t>Super Tea</t>
  </si>
  <si>
    <t>M1023B</t>
  </si>
  <si>
    <t>Passion Fruit Puree 百香果浆</t>
  </si>
  <si>
    <t>P2002C</t>
  </si>
  <si>
    <t>42gm</t>
  </si>
  <si>
    <t>ID#188</t>
  </si>
  <si>
    <t>FOOD REPUBLIC PTE LTD                                  Serangoon Nex@JUICE BAR                    23, Serangoon Central #B2-63                      Singapore 550683</t>
  </si>
  <si>
    <t>Roselle Puree 洛神花浆</t>
  </si>
  <si>
    <t>ID#189</t>
  </si>
  <si>
    <t>ID#190</t>
  </si>
  <si>
    <t>ID#191</t>
  </si>
  <si>
    <t>ID#192</t>
  </si>
  <si>
    <t>Blk  417, Choa Chu Kang Ave 4  #03-382 Singapore 680417</t>
  </si>
  <si>
    <t>NEW TRENDS                                                  Stall :  Blk 75, Toa Payoh 5, Food Centre #01-23, Singapore 310075</t>
  </si>
  <si>
    <t>ID#193</t>
  </si>
  <si>
    <t>Tiong Bahru Soya Bean</t>
  </si>
  <si>
    <t>P7025</t>
  </si>
  <si>
    <t>Almond Syrup 杏仁精</t>
  </si>
  <si>
    <t>Kwang Rong</t>
  </si>
  <si>
    <t>500 ml x12 Btl/ Ctn</t>
  </si>
  <si>
    <t>P3009D</t>
  </si>
  <si>
    <t xml:space="preserve">FOOD REPUBLIC PTE LTD                                   Shaw Lido Orchard@ Juice Bar No 7                     1, Scotts Road #B1-01 Shaw Centre        Singapore 228208                                 </t>
  </si>
  <si>
    <t>P4057</t>
  </si>
  <si>
    <t>P4055A</t>
  </si>
  <si>
    <t>P4056A</t>
  </si>
  <si>
    <t>RED LANTEN SCC</t>
  </si>
  <si>
    <t>M1038</t>
  </si>
  <si>
    <t>M1039</t>
  </si>
  <si>
    <t>900 GM</t>
  </si>
  <si>
    <t>RED LANTERN RESTAURANT PTE LTD                  249 Sembawang Road   Singapore 758352</t>
  </si>
  <si>
    <t>ID#194</t>
  </si>
  <si>
    <t>ID#195</t>
  </si>
  <si>
    <t>ID#196</t>
  </si>
  <si>
    <t>ID#197</t>
  </si>
  <si>
    <t>1KGS</t>
  </si>
  <si>
    <t>ID#198</t>
  </si>
  <si>
    <t>ID#199</t>
  </si>
  <si>
    <t>P4058</t>
  </si>
  <si>
    <t>ID#200</t>
  </si>
  <si>
    <t>ID#201</t>
  </si>
  <si>
    <t>Grass Jelly 仙草冻</t>
  </si>
  <si>
    <t>Tel : 96187049 / 91445525 (Anne)</t>
  </si>
  <si>
    <t>ID#202</t>
  </si>
  <si>
    <t xml:space="preserve">R&amp;B TEA SINGAPORE                                                         SINOPEC, 150 WOODLANDS AVENUE 5  SINGAPORE 739375             </t>
  </si>
  <si>
    <t>R&amp;B TEA SINGAPORE                                                  3 SIMEI STREET 6 #01-04                     EAST POINT MALL, SINGAPORE 528833</t>
  </si>
  <si>
    <t>R&amp;B TEA SINGAPORE                                                         21 CHOA CHU KANG NORTH #01-49/50 YEW TEE POINT, SINGAPORE 689578</t>
  </si>
  <si>
    <t>R&amp;B TEA SINGAPORE                                                     3155 COMMONWEALTH AVENUE WEST #04-K4 CLEMENTI MALL, SINGAPORE 129588</t>
  </si>
  <si>
    <t>ID#203</t>
  </si>
  <si>
    <t>For orders under S$100 will be subjected to a delivery surcharge (S$10).</t>
  </si>
  <si>
    <t>ID#204</t>
  </si>
  <si>
    <t>ID#205</t>
  </si>
  <si>
    <t>NTUC FOODFARE CO-OPERATIVE LTD</t>
  </si>
  <si>
    <t xml:space="preserve">Koufu - Dessert                                             1, Bukit Batok Central Link.                     #04-01 West Mall, Singapore 658713                                                          </t>
  </si>
  <si>
    <t xml:space="preserve">Koufu - Drink                                                  1, Bukit Batok Central Link.                   #04-01 West Mall, Singapore 658713                                                            </t>
  </si>
  <si>
    <t xml:space="preserve">Koufu - FRUIT                                                 1, Bukit Batok Central Link.                     #04-01 West Mall, Singapore 658713                                                          </t>
  </si>
  <si>
    <t xml:space="preserve">FMD CENTRAL KITCHEN HOT                           10, SENOKO WAY                                LEVEL3    SINGAPORE 758031                  </t>
  </si>
  <si>
    <t>Koufu Yew Tee Point                                21, Choa Chu Kang North 6, #B1-17 to 22 Yew Tee Point.  Singapore 689578  (Dessert)</t>
  </si>
  <si>
    <t>Honeydew Premier Concentrated</t>
  </si>
  <si>
    <t>Mango Juice</t>
  </si>
  <si>
    <t>Attention : Suki</t>
  </si>
  <si>
    <t>SETSCO Services Pte Ltd</t>
  </si>
  <si>
    <t xml:space="preserve">Biological &amp; Chemical Technology Division (BCTD) 
SETSCO Services Pte Ltd
531 Bukit Batok St 23 Singapore 659547
Tel: +65 6566 7777 I Fax: +65 6566 7718 </t>
  </si>
  <si>
    <t>Roselle Jam</t>
  </si>
  <si>
    <t>120GM</t>
  </si>
  <si>
    <t>70GM</t>
  </si>
  <si>
    <t>Mango Puree</t>
  </si>
  <si>
    <t>Rock Sugar Syrup</t>
  </si>
  <si>
    <t>Coconut Sugar Syrup</t>
  </si>
  <si>
    <t>Grass Jelly</t>
  </si>
  <si>
    <t>Passion Fruit Puree</t>
  </si>
  <si>
    <t>150GM</t>
  </si>
  <si>
    <t>ID#206</t>
  </si>
  <si>
    <t>Guangdong Import &amp; Export Pte Ltd                                               48 Toh Guan Road East #07-119   Enterprise Hub Singapore 608586</t>
  </si>
  <si>
    <t>750 GM</t>
  </si>
  <si>
    <t>HONEY ROCK SUGAR</t>
  </si>
  <si>
    <t>250GM X 80PKT</t>
  </si>
  <si>
    <t>KOPITIAM</t>
  </si>
  <si>
    <t>ID#207</t>
  </si>
  <si>
    <t>TUCK SHOP                                                  One Punggol Hawker Centre, 1 Punggol Drive, #02-32, Singapore 828629</t>
  </si>
  <si>
    <t>Tuck Shop, One Punggol</t>
  </si>
  <si>
    <t>Sweet Potato Q - Orange 番薯粉圆</t>
  </si>
  <si>
    <t>M1025A</t>
  </si>
  <si>
    <t>Mini Sweet Potato Q - Orange 番薯粉圆</t>
  </si>
  <si>
    <t>Sweet Potato Q - Purple 紫番薯粉圆</t>
  </si>
  <si>
    <t>M1026A</t>
  </si>
  <si>
    <t>Mini Sweet Potato Q - Purple 紫番薯粉圆</t>
  </si>
  <si>
    <t>Taro Q - White 芋头粉圆</t>
  </si>
  <si>
    <t>M1027A</t>
  </si>
  <si>
    <t>Mini Taro Q - White 芋头粉圆</t>
  </si>
  <si>
    <t>P4030B</t>
  </si>
  <si>
    <t>200 GM/PKT</t>
  </si>
  <si>
    <t>ID#208</t>
  </si>
  <si>
    <t>ID#209</t>
  </si>
  <si>
    <t>7 Andover Rd, Singapore 509985</t>
  </si>
  <si>
    <t>Phlippine</t>
  </si>
  <si>
    <t>Fork &amp; Spoon                                               Block 768 Woodlands Ave 6 #01-30/31 Singapore 730768                                         (Dessert)</t>
  </si>
  <si>
    <t>Koufu Rasapura Masters                    2, Bayfront Avenue #B2-49A/50A Singapore 018972                               (Fruit)</t>
  </si>
  <si>
    <t>Koufu Rasapura Masters                    2, Bayfront Avenue #B2-49A/50A Singapore 018972                               (Drink)</t>
  </si>
  <si>
    <t>City Energy Pte Ltd</t>
  </si>
  <si>
    <t>(as Trustee of City Energy Trust)</t>
  </si>
  <si>
    <t>26 Senoko Avenue</t>
  </si>
  <si>
    <t>Singapore 758312</t>
  </si>
  <si>
    <t>One-time cash incentive to use City Energy for 15 Woodlands Loop #04-35</t>
  </si>
  <si>
    <t>CXT-22-I271</t>
  </si>
  <si>
    <t>Edwin Cheong</t>
  </si>
  <si>
    <t>Split Green Mung Bean 豆爽</t>
  </si>
  <si>
    <t>ID#210</t>
  </si>
  <si>
    <t>KOUFU GOURMET PTE LTD</t>
  </si>
  <si>
    <t>Tel: 6506 0720 / 6506 0170</t>
  </si>
  <si>
    <t>1 Woodlands Height, #05-01</t>
  </si>
  <si>
    <t>P3034B</t>
  </si>
  <si>
    <t>梅林                                                             Changi Village Hawker Centre.                                         #01-57  Singapore 500002</t>
  </si>
  <si>
    <t>Ronnie Kitchen Pte Ltd                            8A, Admiralty Street Food Exchange      #06-07. Singapore 757437.</t>
  </si>
  <si>
    <t>Rose Petal 玫瑰花瓣</t>
  </si>
  <si>
    <t>India</t>
  </si>
  <si>
    <t>50gm</t>
  </si>
  <si>
    <t>For orders under S$150 will be subjected to a delivery surcharge (S$20).</t>
  </si>
  <si>
    <t>订单金额低于 150 新元的订单将收取送货附加费 (20 新元)。</t>
  </si>
  <si>
    <t>Delivery Surcharge</t>
  </si>
  <si>
    <t>P6016</t>
  </si>
  <si>
    <t>P4059</t>
  </si>
  <si>
    <t>Twin Five</t>
  </si>
  <si>
    <t>Sembawang Central Zone K RN</t>
  </si>
  <si>
    <t>Blk 588C Montreal Drive #01-106</t>
  </si>
  <si>
    <t>S(753588)</t>
  </si>
  <si>
    <t>Attn: Ms. Tan</t>
  </si>
  <si>
    <t>ID#211</t>
  </si>
  <si>
    <t>Sembawang Central Zone K RN                                    Blk 588C Montreal Drive #01-106 S(753588)</t>
  </si>
  <si>
    <t>Rock Sugar 冰糖</t>
  </si>
  <si>
    <t>Whole Corn 玉米粒</t>
  </si>
  <si>
    <t>Full Cream Milk 牛奶</t>
  </si>
  <si>
    <t>Carnation Milk 淡奶水</t>
  </si>
  <si>
    <t>GingKo Nut 白果罐</t>
  </si>
  <si>
    <t>Baked Beans 茄汁豆</t>
  </si>
  <si>
    <t>Sea Coconut 海底椰</t>
  </si>
  <si>
    <t>Fruit Cocktail 杂果</t>
  </si>
  <si>
    <t>ID#212</t>
  </si>
  <si>
    <t>ID#213</t>
  </si>
  <si>
    <t>ID#214</t>
  </si>
  <si>
    <t>30 Seng Poh Road #02-15</t>
  </si>
  <si>
    <t>P6017</t>
  </si>
  <si>
    <t>GREEN SEEDLESS LEMON</t>
  </si>
  <si>
    <t>XIONG</t>
  </si>
  <si>
    <t>xiong</t>
  </si>
  <si>
    <t>16/1 起调整价钱</t>
  </si>
  <si>
    <t xml:space="preserve">  </t>
  </si>
  <si>
    <t>0049PO00065703</t>
  </si>
  <si>
    <t>800 GMS</t>
  </si>
  <si>
    <t>M1040</t>
  </si>
  <si>
    <t>300 GM</t>
  </si>
  <si>
    <t>M1041</t>
  </si>
  <si>
    <t>Royal Orchid</t>
  </si>
  <si>
    <t>ID#215</t>
  </si>
  <si>
    <t>ID#216</t>
  </si>
  <si>
    <t>Robo-T Cafe                                                  369 Sembawang #01-03             Singapore 758382</t>
  </si>
  <si>
    <t>ROBO-T CAFÉ</t>
  </si>
  <si>
    <t>Tel: 9680 2221</t>
  </si>
  <si>
    <t>Attn: Ms. Cathsy</t>
  </si>
  <si>
    <t>Volume</t>
  </si>
  <si>
    <t>100GM/PACK</t>
  </si>
  <si>
    <t>80GM/PACK</t>
  </si>
  <si>
    <t>Goji</t>
  </si>
  <si>
    <t>Whole White Fungus</t>
  </si>
  <si>
    <t>High-Tea set</t>
  </si>
  <si>
    <t>Dried Red Date</t>
  </si>
  <si>
    <t>2 bottle/pkt</t>
  </si>
  <si>
    <t>500gm/pkt</t>
  </si>
  <si>
    <t>Fusionoplis One                                            1 Fusionopolis Way Basement 2    #B2-02 Singapore 138632                                    (Dessert)</t>
  </si>
  <si>
    <t>GD</t>
  </si>
  <si>
    <t>Bags</t>
  </si>
  <si>
    <t>P2022A</t>
  </si>
  <si>
    <t>Knows</t>
  </si>
  <si>
    <t>2.25 kgs</t>
  </si>
  <si>
    <t xml:space="preserve">Food Junction </t>
  </si>
  <si>
    <t>Food Junction    Food Republic</t>
  </si>
  <si>
    <t>Yellow Lemon 柠檬</t>
  </si>
  <si>
    <t xml:space="preserve">GOODWOOF PTE. LTD.                                                                                31 Woodlands Close #06-16        Singapore 737855          </t>
  </si>
  <si>
    <t>Fusionoplis one.                                           1 Fusionopolis Way Basement 2        #B2-02 Singapore 138632                                   (DRINK)</t>
  </si>
  <si>
    <t>1BAG (5PKT X 310G)</t>
  </si>
  <si>
    <t>KENNY</t>
  </si>
  <si>
    <t>Food Dynasty</t>
  </si>
  <si>
    <t xml:space="preserve">Fork &amp; Spoon - Dessert                                10, Sinaran Drive #04-14 to 19,56 to 73. Novena Square 2 Singapore 307506                                            </t>
  </si>
  <si>
    <t>462 Crawford #01-61</t>
  </si>
  <si>
    <t>FOOD DYNASTY PTE LTD</t>
  </si>
  <si>
    <t>51, UBI AVENUE 1 #02-17/18</t>
  </si>
  <si>
    <t xml:space="preserve">PAYA UBI INDUSTRIAL PARK </t>
  </si>
  <si>
    <t>SINGAPORE 408933</t>
  </si>
  <si>
    <t>ORDER QUANTITY</t>
  </si>
  <si>
    <t>M1042</t>
  </si>
  <si>
    <t>Split Green Mung Bean (Steamed)  豆爽 (蒸)</t>
  </si>
  <si>
    <t>2664 Pineapple</t>
  </si>
  <si>
    <t>Sweeten Melon Cube 冬瓜粒</t>
  </si>
  <si>
    <t>P6002A</t>
  </si>
  <si>
    <t>NEW ITEM</t>
  </si>
  <si>
    <t>FLYING MAN</t>
  </si>
  <si>
    <t>3Q Konjac Jelly</t>
  </si>
  <si>
    <t>P3065</t>
  </si>
  <si>
    <t>QUAKER</t>
  </si>
  <si>
    <t xml:space="preserve">Koufu - (DIM SUM)                                                          </t>
  </si>
  <si>
    <t xml:space="preserve">Koufu   Pte Ltd - Dim Sum                                                                          467 Bukit Batok West Ave 9 #01-10  Singapore 650467                                                  </t>
  </si>
  <si>
    <t>3.4 KG</t>
  </si>
  <si>
    <t>FOOD REPUBLIC PTE LTD                                  Serangoon Nex@DRINK STALL                    23, Serangoon Central #B2-63                      Singapore 550683</t>
  </si>
  <si>
    <t>P1007B</t>
  </si>
  <si>
    <t>P1006B</t>
  </si>
  <si>
    <t>P1006C</t>
  </si>
  <si>
    <t>P1007C</t>
  </si>
  <si>
    <t>P1006D</t>
  </si>
  <si>
    <t>P7026</t>
  </si>
  <si>
    <t>Grass Jelly Flavouring</t>
  </si>
  <si>
    <t>Tosu</t>
  </si>
  <si>
    <t>P4004B</t>
  </si>
  <si>
    <t xml:space="preserve">FOOD REPUBLIC PTE LTD                                   Shaw Lido Orchard@Drink Stall                   1, Scotts Road #B1-01 Shaw Centre        Singapore 228208                                 </t>
  </si>
  <si>
    <t xml:space="preserve">FOOD REPUBLIC PTE LTD                                 Tai Seng Street,   #01-06/07/08      Breadtalk IHQ, Singapore 534013                             </t>
  </si>
  <si>
    <t xml:space="preserve">FOOD REPUBLIC PTE LTD                                   Suntec City@Drink stall                                         3, Temasek Boulevard #B1-115             Suntec City Mall Singapore 038983                          </t>
  </si>
  <si>
    <t>ID#116</t>
  </si>
  <si>
    <t xml:space="preserve">FOOD REPUBLIC PTE LTD                                   Suntec City@Fruit stall                                         3, Temasek Boulevard #B1-115             Suntec City Mall Singapore 038983                          </t>
  </si>
  <si>
    <t>FOOD REPUBLIC PTE LTD                                  Serangoon Nex@Fruit Stall                          23, Serangoon Central #B2-63                      Singapore 550683</t>
  </si>
  <si>
    <t>Nata 椰果芊 15mm</t>
  </si>
  <si>
    <t>Nata 椰果芊 10 x 10MM</t>
  </si>
  <si>
    <t>INGCOD1053</t>
  </si>
  <si>
    <t>ID#120</t>
  </si>
  <si>
    <t>Koufu - Drink                                             Blk 511 Canberra Road, #01-01 Sembawang Mart, Singapore 750511</t>
  </si>
  <si>
    <t>ID#217</t>
  </si>
  <si>
    <t>Super Tea (S) Pte Ltd (HQ)                                                  1 Woodlands Height, #07-01,      Singapore 737859</t>
  </si>
  <si>
    <t>P3066</t>
  </si>
  <si>
    <t>银山</t>
  </si>
  <si>
    <t>LaoYan 老盐柠檬茶用盐</t>
  </si>
  <si>
    <t>Strawberry Puree 草莓</t>
  </si>
  <si>
    <t>Guava Puree 番石榴</t>
  </si>
  <si>
    <t>Chendol 浆咯</t>
  </si>
  <si>
    <t>Aloe Vera 芦荟 10mm</t>
  </si>
  <si>
    <t>Longan in Syrup 龙眼</t>
  </si>
  <si>
    <t>Lychee in Syrup 荔枝</t>
  </si>
  <si>
    <t>Cream Corn 玉米浆</t>
  </si>
  <si>
    <t>Canned Red Bean 罐头红豆</t>
  </si>
  <si>
    <t>Carnation Milk 三花淡奶水</t>
  </si>
  <si>
    <t>Polar Mineral Water 矿泉水</t>
  </si>
  <si>
    <t>Flavour Essence 香精</t>
  </si>
  <si>
    <t>Bonton Ginger 文冬姜</t>
  </si>
  <si>
    <t>Small Rock Sugar 小冰糖·</t>
  </si>
  <si>
    <t>Red Tea Jelly 红茶冻</t>
  </si>
  <si>
    <t>FEN YUAN JELLY 粉圆冻</t>
  </si>
  <si>
    <t>Herbal Jelly Powder 龟苓膏粉</t>
  </si>
  <si>
    <t>KENNY                                                                                                                         4, WOODLANDS STREET 12 MARSILING MALL #01-63 SINGAPORE 738620</t>
  </si>
  <si>
    <t>1 KG/ Box盒</t>
  </si>
  <si>
    <t>800 GM/ Bag包</t>
  </si>
  <si>
    <t>1KG/ Pkt包</t>
  </si>
  <si>
    <t>Coconut Suger Syrup (Pandan) 椰糖浆(班兰)</t>
  </si>
  <si>
    <t>Osmanthus Jelly 枸杞桂花冻</t>
  </si>
  <si>
    <t>Rock Sugar Syrup 冰糖浆</t>
  </si>
  <si>
    <t>Agar Agar Red Jelly 菜燕冻红</t>
  </si>
  <si>
    <t>Agar Agar Green Jelly 菜燕冻绿</t>
  </si>
  <si>
    <t>Mini Colour Rice Ball 迷你七彩汤圆</t>
  </si>
  <si>
    <t>Honey Dew Puree-Yellow 蜜瓜浆-黄</t>
  </si>
  <si>
    <t>Tadpole 蝌蚪</t>
  </si>
  <si>
    <t>Fresh Soursop Seedless 红毛榴莲(无)</t>
  </si>
  <si>
    <t>Rice Ball (White - Sesame) 芝麻汤圆</t>
  </si>
  <si>
    <t>Rice Ball (Pink - Peanut) 花生汤圆</t>
  </si>
  <si>
    <t>Tapioca Q - Green 木薯粉圆</t>
  </si>
  <si>
    <t>15 PCS/ Pkt包</t>
  </si>
  <si>
    <t>80 GM/ Pkt包</t>
  </si>
  <si>
    <t>100 GM/ Pkt包</t>
  </si>
  <si>
    <t>1 KG/ Pkt包</t>
  </si>
  <si>
    <t>700 GM/ Box盒</t>
  </si>
  <si>
    <t>500 GM/ Bag包</t>
  </si>
  <si>
    <t>900 GM/ Box盒</t>
  </si>
  <si>
    <t>Pandan Bean Curd Jelly 班兰豆花冻</t>
  </si>
  <si>
    <t>2 KG/ Pkt包</t>
  </si>
  <si>
    <t>Snow Ice - Chocolate 雪花冰-巧克力</t>
  </si>
  <si>
    <t>Snow Ice - Mango 雪花冰-芒果</t>
  </si>
  <si>
    <t>Snow Ice - Strawberry 雪花冰-草莓</t>
  </si>
  <si>
    <t>Snow Ice - Durian 雪花冰-榴莲</t>
  </si>
  <si>
    <t>Snow Ice - Matcha Green Tea 雪花冰-绿茶</t>
  </si>
  <si>
    <t>Honey Pearl - Black 蜜糖珍珠-黑</t>
  </si>
  <si>
    <t>Honey Pearl - Golden 蜜糖珍珠-金</t>
  </si>
  <si>
    <t>Magic Pop Ball - Mango 芒果爆珠</t>
  </si>
  <si>
    <t>Magic Pop Ball - Lychee 荔枝爆珠</t>
  </si>
  <si>
    <t>Magic Pop Ball - Strawberry 草莓爆珠</t>
  </si>
  <si>
    <t>Magic Pop Ball - Passion 百香果爆珠</t>
  </si>
  <si>
    <t>Magic Pop Ball - Yogurt 酸奶爆珠</t>
  </si>
  <si>
    <t>Magic Pop Ball - Water Chestnut Red 马蹄爆珠-红</t>
  </si>
  <si>
    <t>Magic Pop Ball - Red Bean 红豆爆珠</t>
  </si>
  <si>
    <t>Magic Pop Ball - Barley 薏米爆珠</t>
  </si>
  <si>
    <t>Jelly Powder 文头雪粉 (Carrageenan)</t>
  </si>
  <si>
    <t>Agar Powder 菜燕粉</t>
  </si>
  <si>
    <t>Almond Power-White 杏仁粉白</t>
  </si>
  <si>
    <t>Almond Power - Yellow 杏仁粉黄</t>
  </si>
  <si>
    <t>Nestle Coffeemate 咖啡奶粉</t>
  </si>
  <si>
    <t>Sweet Potato Powder 番薯粉</t>
  </si>
  <si>
    <t>Chicken Seasoning Powder</t>
  </si>
  <si>
    <t>Soda Ash Dense 枧粉</t>
  </si>
  <si>
    <t>Rice Flour 粘米粉</t>
  </si>
  <si>
    <t>ERAWAN</t>
  </si>
  <si>
    <t>Glutinous Flour 糯米粉</t>
  </si>
  <si>
    <t>Red Tea Jelly Powder 红茶果冻粉</t>
  </si>
  <si>
    <t>Vanillin 班兰素</t>
  </si>
  <si>
    <t>Green Tea Powder 绿茶粉</t>
  </si>
  <si>
    <t>JELLY POWDER T-80 (BAI LIANG FEN) 白凉粉</t>
  </si>
  <si>
    <t>Corn Flour 玉蜀黍粉</t>
  </si>
  <si>
    <t>Atap Seeds in Syrup 亚嗒子</t>
  </si>
  <si>
    <t>GingKo Nut (Peel off) 白果仁</t>
  </si>
  <si>
    <t>Red Bean 红豆</t>
  </si>
  <si>
    <t>Red Bean 红豆 (5.5 mm)</t>
  </si>
  <si>
    <t>Small Red Bean 小红豆</t>
  </si>
  <si>
    <t>Chia Tao 赤豆</t>
  </si>
  <si>
    <t>Soyabean 黄豆</t>
  </si>
  <si>
    <t>Black Bean 黑豆</t>
  </si>
  <si>
    <t>White Glutinous Rice 白糯米</t>
  </si>
  <si>
    <t>Fungus 黄木耳散</t>
  </si>
  <si>
    <t>GingKo Nut 白果粒</t>
  </si>
  <si>
    <t>Sweeten Melon Strip 冬瓜条</t>
  </si>
  <si>
    <t>Golden Pearl -黄金珍珠</t>
  </si>
  <si>
    <t>Sour Plum 酸梅(无子)</t>
  </si>
  <si>
    <t>Red Date (Seedless) 红枣(无)</t>
  </si>
  <si>
    <t>Black Sesame Seeds 黑芝麻</t>
  </si>
  <si>
    <t>Blanded Apricot Kernels 光中杏 (南杏)</t>
  </si>
  <si>
    <t>Osmanthus 桂花</t>
  </si>
  <si>
    <t>Coarse Salt 粗盐</t>
  </si>
  <si>
    <t>Dried Roselle 洛神花</t>
  </si>
  <si>
    <t>White Sesame Seeds 白芝麻</t>
  </si>
  <si>
    <t>Instant Oatmeal 继冲麦片</t>
  </si>
  <si>
    <t>Nata 椰果芊 5mm</t>
  </si>
  <si>
    <t>Water Chestnut 马蹄罐</t>
  </si>
  <si>
    <t>Pineapple in Cubes 黄梨丁</t>
  </si>
  <si>
    <t>Peaches Sliced 桃条</t>
  </si>
  <si>
    <t>Coconut Sugar 椰糖</t>
  </si>
  <si>
    <t>China Turnip 沙葛</t>
  </si>
  <si>
    <t>Butterfly Peas 兰花</t>
  </si>
  <si>
    <t>Food Coloring Powder 色粉</t>
  </si>
  <si>
    <t>Food Coloring 颜色水</t>
  </si>
  <si>
    <t>500 ML/ Btl支</t>
  </si>
  <si>
    <t>P3066A</t>
  </si>
  <si>
    <t>F5025 Red/红</t>
  </si>
  <si>
    <t>P5002C</t>
  </si>
  <si>
    <t>P2007D</t>
  </si>
  <si>
    <t>Bai Liang Fen 白凉粉</t>
  </si>
  <si>
    <t>bag</t>
  </si>
  <si>
    <t>Koufu - Tim Sum                                             Blk 511 Canberra Road, #01-01 Sembawang Mart, Singapore 750511</t>
  </si>
  <si>
    <t>Cloudly</t>
  </si>
  <si>
    <t>MITR PHOL/ 蜜朋</t>
  </si>
  <si>
    <t>STATUE/ 企人</t>
  </si>
  <si>
    <t>8202 3599                                                                             3 Yung Sheng Road, #03-170            Singapore 618499</t>
  </si>
  <si>
    <t>3 Yung Sheng #03-170</t>
  </si>
  <si>
    <t>Koufu Fusionopolis Way</t>
  </si>
  <si>
    <t>Koufu Sengkang Hospital</t>
  </si>
  <si>
    <t>S. Marco Food Trading Pte Ltd            39, Woodlands Close #05-27/28/29 Singapore 737856</t>
  </si>
  <si>
    <t xml:space="preserve">39, Woodlands Close </t>
  </si>
  <si>
    <t>#05-27/28/29</t>
  </si>
  <si>
    <t>JD Central Kitchen                                               15 Woodlands Loop #02-21/22       Singapore 738322</t>
  </si>
  <si>
    <t>JD Central Kitchen                                                    Singapore 738322</t>
  </si>
  <si>
    <t xml:space="preserve">15 Woodlands Loop #02-21/22 </t>
  </si>
  <si>
    <t>P3067</t>
  </si>
  <si>
    <t>Peach Gum 桃胶</t>
  </si>
  <si>
    <t>500 GM/ Bag</t>
  </si>
  <si>
    <t>P3068</t>
  </si>
  <si>
    <t>Caramel Syrup 焦糖</t>
  </si>
  <si>
    <t>1.2 KG/ Btl</t>
  </si>
  <si>
    <t xml:space="preserve">FOOD REPUBLIC PTE LTD                             Somerset Orchard@Drink stall No: 17   313 Orchard Road #05-01                Singapore 238895                           </t>
  </si>
  <si>
    <t xml:space="preserve">Koufu -  Drink                                              9 Tampines Street 32,   Tampines Mart. Singapore 529287.             </t>
  </si>
  <si>
    <t xml:space="preserve">Koufu - Dessert                                     Gourmet Paradise                                  Toa Payoh Lorong 6, Blk 480 #B1-01 Singapore 310480    </t>
  </si>
  <si>
    <t xml:space="preserve">FOOD REPUBLIC PTE LTD                            Shaw Lido Orchard@ICE shop                    1, Scotts Road #B1-01 Shaw Centre        Singapore 228208                                 </t>
  </si>
  <si>
    <r>
      <t xml:space="preserve">Balestier Market Pte Ltd                       411, Balestier Road.                         Singapore 329930                                       </t>
    </r>
    <r>
      <rPr>
        <b/>
        <sz val="11"/>
        <color rgb="FF000000"/>
        <rFont val="Calibri"/>
        <family val="2"/>
        <scheme val="minor"/>
      </rPr>
      <t>(Drink Stall)</t>
    </r>
  </si>
  <si>
    <t xml:space="preserve">FOOD REPUBLIC PTE LTD                             Vivo City @Ice Shop #16                               1, Harbourfront Walk #03-01, VivoCity   Singapore 098585                           </t>
  </si>
  <si>
    <t>Koufu TAMPINES MARK DESSERT</t>
  </si>
  <si>
    <t>Koufu - Dessert                                     258 Pasir Ris Street 21,  Loyang Point, #02-313,  Singapore 510258</t>
  </si>
  <si>
    <t>Koufu - Tim Sum                                    258 Pasir Ris Street 21,  Loyang Point, #02-313,  Singapore 510258</t>
  </si>
  <si>
    <t>KOUFU GOURMET PTE LTD                        1 Woodlands Height #05-01                    Singapore 737859</t>
  </si>
  <si>
    <t>Rong Hua Desserts                                        Blk 10, Ubi Crescent #01-04.                         Ubi Tech Park Singapore 408564</t>
  </si>
  <si>
    <t>M1023C</t>
  </si>
  <si>
    <t>SINGAPORE</t>
  </si>
  <si>
    <t>R&amp;B TEA SINGAPORE                                  1 KIM SENG PROMENADE  #B1-K104 GREAT WORLD CITY,                 SINGAPORE 237994</t>
  </si>
  <si>
    <t>Punggol OASIS (Gourmet Paradise)      681 Punggol Drive #04-01               OASIS Terraces, Singapore 820681</t>
  </si>
  <si>
    <t>P6018</t>
  </si>
  <si>
    <t>Food Coloring - Liquid 颜色水</t>
  </si>
  <si>
    <t>Fresh Mango 新鲜芒果</t>
  </si>
  <si>
    <t xml:space="preserve">FOOD REPUBLIC PTE LTD                             Somerset Orchard@JuiceBar No: 17   313 Orchard Road #05-01                Singapore 238895                           </t>
  </si>
  <si>
    <t>Drink &amp; Dessert Stall                      11, Rivervale Crescent                              #01-01/02/03 Rivervale Mall Singapore 545082</t>
  </si>
  <si>
    <t>M1043</t>
  </si>
  <si>
    <t>Mini Brown Sago 迷你黑珍珠</t>
  </si>
  <si>
    <t>P5004A</t>
  </si>
  <si>
    <t>P5004B</t>
  </si>
  <si>
    <t>P5004C</t>
  </si>
  <si>
    <t xml:space="preserve">Dessert Stall 10                                          Catholic Junior College.                                  129 Whitley Road                                     Singapore 297822                                                                                      </t>
  </si>
  <si>
    <t xml:space="preserve">FOOD REPUBLIC PTE LTD             @WOODLEIGH - DRINK (STALL: #07)               11, Bidadari Drive #B1-09/10 The Woodleigh Mall Singapore 367803                                   </t>
  </si>
  <si>
    <t>Jenlyn</t>
  </si>
  <si>
    <t>Mixed Sugar</t>
  </si>
  <si>
    <t>200 gm</t>
  </si>
  <si>
    <t>M1044</t>
  </si>
  <si>
    <t>800 GM</t>
  </si>
  <si>
    <t>P5015</t>
  </si>
  <si>
    <t>30  DAYS</t>
  </si>
  <si>
    <t>KOPI TAN                                                        Bukit Canberra Hawker Centre #01-23         21 Canberra Link, Singapore 752350</t>
  </si>
  <si>
    <t xml:space="preserve">Koufu - Dessert                                            Block 168 Punggol Field #01-01      Punggol Plaza Singapore 820168               </t>
  </si>
  <si>
    <t xml:space="preserve">FOOD REPUBLIC PTE LTD                            Causeway Point @Ice Shop, Woodlands Square #04-01 Causeway Point Singapore 738099                                                        </t>
  </si>
  <si>
    <t xml:space="preserve">FOOD REPUBLIC PTE LTD                            Causeway Point @Juice Bar, Woodlands Square #04-01 Causeway Point Singapore 738099                                                        </t>
  </si>
  <si>
    <t xml:space="preserve">FOOD REPUBLIC PTE LTD                            Causeway Point @DRINK STALL, Woodlands Square #04-01 Causeway Point Singapore 738099                                                        </t>
  </si>
  <si>
    <t xml:space="preserve">FOOD REPUBLIC PTE LTD                             Vivo City @Juice Bar #20                              1, Harbourfront Walk #03-01, VivoCity   Singapore 098585                           </t>
  </si>
  <si>
    <t xml:space="preserve">FOOD REPUBLIC PTE LTD                             Vivo City @Drink Stall #16A                        1, Harbourfront Walk #03-01, VivoCity   Singapore 098585                           </t>
  </si>
  <si>
    <t>Korea</t>
  </si>
  <si>
    <t>100 sheets</t>
  </si>
  <si>
    <t>Laver for Kimbab (Roast)</t>
  </si>
  <si>
    <t>Yew Kee</t>
  </si>
  <si>
    <t xml:space="preserve">312, Old Birdcage Walk </t>
  </si>
  <si>
    <t>#02-11 Singapore 798485</t>
  </si>
  <si>
    <t>Miss Karen : Account Dept</t>
  </si>
  <si>
    <t>M1045</t>
  </si>
  <si>
    <t>Pong Thai Hai (Dry) 碰大海(干)</t>
  </si>
  <si>
    <t>Pong Thai Hai (Wet) 碰大海(湿)</t>
  </si>
  <si>
    <t>Cafe 107 Pte Ltd                                                                             107 Serangoon North Ave 1, #01-671 Singapore 550107.</t>
  </si>
  <si>
    <t>INGCOD1212</t>
  </si>
  <si>
    <t>KOUFU SGH</t>
  </si>
  <si>
    <t>KOUFU - Dessert                                                                                                   Outram Road Singapore General Hospital.  Block 6/7 Level 1 Food Court Singapore 169608</t>
  </si>
  <si>
    <t>KOUFU - Tim Sum                                                                                                  Outram Road Singapore General Hospital.  Block 6/7 Level 1 Food Court Singapore 169608</t>
  </si>
  <si>
    <t>KOUFU - Drink                                                                                               Outram Road Singapore General Hospital.  Block 6/7 Level 1 Food Court Singapore 169608</t>
  </si>
  <si>
    <t>Tong Shui Desserts                                       101, Upper Cross Street #02-49.                   People's Park Centre, Singapore 058357</t>
  </si>
  <si>
    <t>MANGO</t>
  </si>
  <si>
    <t>Sugary Empire Pte Ltd                                                                                        824 Tampines St 81 #01-38 Singapore</t>
  </si>
  <si>
    <t>Luo Han Guo</t>
  </si>
  <si>
    <t>piece</t>
  </si>
  <si>
    <t>Canned peannut</t>
  </si>
  <si>
    <t>Black Glutinous Rice</t>
  </si>
  <si>
    <t>Sugary Empire Pte Ltd</t>
  </si>
  <si>
    <t>Tel: 82047820</t>
  </si>
  <si>
    <t>Attn: Miss Aw</t>
  </si>
  <si>
    <t>Bamboo Charcoal Powder</t>
  </si>
  <si>
    <t>40g</t>
  </si>
  <si>
    <t>Cold Bean Curd Powder 豆花粉</t>
  </si>
  <si>
    <t>P6002B</t>
  </si>
  <si>
    <t>Sweet Potato Cubes</t>
  </si>
  <si>
    <t>P6006A</t>
  </si>
  <si>
    <t>Yam cube</t>
  </si>
  <si>
    <t>CANOPY HAWKERS GROUP PTE LTD</t>
  </si>
  <si>
    <t>P3066B</t>
  </si>
  <si>
    <t>Coconut Milk 椰浆小</t>
  </si>
  <si>
    <t>400 GM</t>
  </si>
  <si>
    <t>P3066C</t>
  </si>
  <si>
    <t>P2036</t>
  </si>
  <si>
    <t>120 GM</t>
  </si>
  <si>
    <t>Pumpkin Powder 南瓜粉</t>
  </si>
  <si>
    <t>Duo Li</t>
  </si>
  <si>
    <t>M1002B</t>
  </si>
  <si>
    <t>Fresh Pineapple Puree 凤梨果浆</t>
  </si>
  <si>
    <t>P1011</t>
  </si>
  <si>
    <t>Black Sweet Sauce 黑甜酱</t>
  </si>
  <si>
    <t>P2036A</t>
  </si>
  <si>
    <t>P6004A</t>
  </si>
  <si>
    <t>Red Bean Paste 红豆沙</t>
  </si>
  <si>
    <t>Corn Cream 玉米浆</t>
  </si>
  <si>
    <t>Corn Whole 玉米粒</t>
  </si>
  <si>
    <t>Golden Boy</t>
  </si>
  <si>
    <t>高原                                                           Blk 226H, Ang Mo Kio Street 22      #01-14  Singapore 568226</t>
  </si>
  <si>
    <t>GST</t>
  </si>
  <si>
    <t>After Discount</t>
  </si>
  <si>
    <t>Discount</t>
  </si>
  <si>
    <t>AMK Blk 226H #01-14</t>
  </si>
  <si>
    <t>R&amp;B TEA SINGAPORE                                  NTU, 76 NANYANG DRIVE #02-03 SINGAPORE 637331</t>
  </si>
  <si>
    <t>R&amp;B TEA SINGAPORE                                  991 BUANGKOK LINK #01-27 SINGAPORE 530991</t>
  </si>
  <si>
    <t>R&amp;B TEA SINGAPORE                                 BLK 118 RIVERVALE DRIVE                      #01-K16 RIVERVALE PLAZA,    SINGAPORE 540118</t>
  </si>
  <si>
    <t>R&amp;B TEA SINGAPORE                                 BLK 678A WOODLANDS AVE 6              #01-08A, SINGAPORE 731678</t>
  </si>
  <si>
    <t>R&amp;B TEA SINGAPORE                                  470 TOA PAYOH LORONG 6                   SINGAPORE 310470</t>
  </si>
  <si>
    <t>R&amp;B TEA SINGAPORE                                 377 HOUGANG STREET 32                       #B1-18 HOUGANG RIVERCOURT, SINGAPORE 530377</t>
  </si>
  <si>
    <t>R&amp;B TEA SINGAPORE                                  20 TAMPINES CENTRAL                          #01-18 TAMPINES MRT,          SINGAPORE 529538</t>
  </si>
  <si>
    <t>R&amp;B TEA SINGAPORE                                 301 UPPER THOMSON ROAD                 #01-106 THOMSON PLAZA,    SINGAPORE 574408</t>
  </si>
  <si>
    <t>R&amp;B TEA SINGAPORE                                 80 MARINE PARADE ROAD                     #03-30A PARKWAY PARADE, SINGAPORE 449269</t>
  </si>
  <si>
    <t>R&amp;B TEA SINGAPORE                                  4 BUKIT BATOK STREET 41                       #01-47 LE QUEST,                        SINGAPORE 657991</t>
  </si>
  <si>
    <t>Food Republic</t>
  </si>
  <si>
    <t>Balestier</t>
  </si>
  <si>
    <t>Cooked Big Sago 大丸(煮)</t>
  </si>
  <si>
    <t>FG000884</t>
  </si>
  <si>
    <t>Red Lantern Restaurant Pte Ltd</t>
  </si>
  <si>
    <t>1 Can X A10 /罐</t>
  </si>
  <si>
    <t>P3069</t>
  </si>
  <si>
    <t>P3070</t>
  </si>
  <si>
    <t>P3071</t>
  </si>
  <si>
    <t>P3072</t>
  </si>
  <si>
    <t>150 pcs</t>
  </si>
  <si>
    <t>Hawthorn 山楂</t>
  </si>
  <si>
    <t>Chinese Sugarcane 竹蔗</t>
  </si>
  <si>
    <t>Ginseng Roots 洋参须</t>
  </si>
  <si>
    <t>Roselle Flower 洛神花</t>
  </si>
  <si>
    <t>100gm x 10PKT/Bag</t>
  </si>
  <si>
    <t>100gm x 10PKT/ Bag</t>
  </si>
  <si>
    <t>60gm x 10PKT/ Bag</t>
  </si>
  <si>
    <t>125gm x 10PKT/ Bag</t>
  </si>
  <si>
    <t xml:space="preserve">Koufu - Drink                                             735. Pasir Ris West Plaza.                                  Pasir Ris Street 72 #01-336.                               Singapore 510735          </t>
  </si>
  <si>
    <t xml:space="preserve">Koufu - Dim Sum                                             735. Pasir Ris West Plaza.                                  Pasir Ris Street 72 #01-336.                               Singapore 510735          </t>
  </si>
  <si>
    <t>TOTAL</t>
  </si>
  <si>
    <t>3kg</t>
  </si>
  <si>
    <t>P3058A</t>
  </si>
  <si>
    <t>5 KG/ Pkt</t>
  </si>
  <si>
    <t>2 KG/ Pkt</t>
  </si>
  <si>
    <t>4 KG X 4 Tub/ Ctn箱</t>
  </si>
  <si>
    <t>2 KG (20 X 100GM)/ Pkt包</t>
  </si>
  <si>
    <t>500 GM X 20/ Ctn箱</t>
  </si>
  <si>
    <t>850 GM/ Can罐</t>
  </si>
  <si>
    <t>3.2 KG/ Tub桶</t>
  </si>
  <si>
    <t>1 KG/ Bag包</t>
  </si>
  <si>
    <t>4 KG/ Tub桶</t>
  </si>
  <si>
    <t>350 GM x 24/ Ctn箱</t>
  </si>
  <si>
    <t xml:space="preserve">500 GM/pkt </t>
  </si>
  <si>
    <t>500 GM x 10</t>
  </si>
  <si>
    <t>(600 GM x 20)/ Ctn箱</t>
  </si>
  <si>
    <t>600 GM</t>
  </si>
  <si>
    <t>500 GM/ Can</t>
  </si>
  <si>
    <t>2.5 KG</t>
  </si>
  <si>
    <t>1 KG (500 GM X 2)</t>
  </si>
  <si>
    <t>500GM X 24/ Ctn箱</t>
  </si>
  <si>
    <t>25 KG/ Bag</t>
  </si>
  <si>
    <t>3 KG/ Tin</t>
  </si>
  <si>
    <t>30 KGS</t>
  </si>
  <si>
    <t>10 PKT/ Bag</t>
  </si>
  <si>
    <t>15 KG</t>
  </si>
  <si>
    <t>500 ML x12 BT/ Ctn</t>
  </si>
  <si>
    <t>1 LT/ Btl</t>
  </si>
  <si>
    <t>5 LT/ Btl</t>
  </si>
  <si>
    <t>450 ML/ Btl</t>
  </si>
  <si>
    <t>506 GM</t>
  </si>
  <si>
    <t>50 GM</t>
  </si>
  <si>
    <t>20 KG/ Tin</t>
  </si>
  <si>
    <t>400 GM x 50 pkt/ Ctn</t>
  </si>
  <si>
    <t>10 KG/ ctn</t>
  </si>
  <si>
    <t>6 KG</t>
  </si>
  <si>
    <t>6 KG X 6 PKT/ Bag</t>
  </si>
  <si>
    <t>3 KG X 6 PKT/ Ctn</t>
  </si>
  <si>
    <t>24 CAN/ Ctn</t>
  </si>
  <si>
    <t>825 GM X 12/ Ctn</t>
  </si>
  <si>
    <t>425 GM x 24</t>
  </si>
  <si>
    <t>4 LT</t>
  </si>
  <si>
    <t>600 ML x 24/ Ctn箱</t>
  </si>
  <si>
    <t>820 GM x 12/ Ctn箱</t>
  </si>
  <si>
    <t>425 GM x 24/ Ctn箱</t>
  </si>
  <si>
    <t>410 GM x 24/ Ctn箱</t>
  </si>
  <si>
    <t>425 GM/ Can</t>
  </si>
  <si>
    <t>410 GM/ Can</t>
  </si>
  <si>
    <t xml:space="preserve">3.3 KG/ Can </t>
  </si>
  <si>
    <t>3.3 KG X 6/ Ctn</t>
  </si>
  <si>
    <t>397 GM x 24/ Ctn箱</t>
  </si>
  <si>
    <t>380 GM x 48/ Ctn箱</t>
  </si>
  <si>
    <t>380 GM/ Can</t>
  </si>
  <si>
    <t>405 GM x 48/ Ctn箱</t>
  </si>
  <si>
    <t>405 GM/ Can罐</t>
  </si>
  <si>
    <t>385 GM x 48/ Ctn箱</t>
  </si>
  <si>
    <t>385 GM/ Can</t>
  </si>
  <si>
    <t>567 GM x 12/ Ctn箱</t>
  </si>
  <si>
    <t>ID#218</t>
  </si>
  <si>
    <t>ID#219</t>
  </si>
  <si>
    <t>P6001A</t>
  </si>
  <si>
    <t>P6001B</t>
  </si>
  <si>
    <t>2 KGS</t>
  </si>
  <si>
    <t>Koufu - White Sands                                                 1 Pasir Ris Central St 3, #03-01/02,    Singapore 518457                         (Drink)</t>
  </si>
  <si>
    <t>Koufu - White Sands                                                 1 Pasir Ris Central St 3, #03-01/02,    Singapore 518457                         (Dessert)</t>
  </si>
  <si>
    <t>KOUFU White Sand</t>
  </si>
  <si>
    <t>TEL: 91548191                                                                                          80 Bendemeer Road #01-01 Singapore 339949</t>
  </si>
  <si>
    <t>P2001a</t>
  </si>
  <si>
    <t>1/8 起调整价钱</t>
  </si>
  <si>
    <t>ID#220</t>
  </si>
  <si>
    <t>MOB: 97541469                                                                 4, WOODLANDS STREET 12        MARSILING MALL #01-55                 SINGAPORE 738620</t>
  </si>
  <si>
    <t>COST      AS AT            30-11-2023</t>
  </si>
  <si>
    <t>Durian Puree 榴莲酱</t>
  </si>
  <si>
    <t>Mango Puree 芒果酱</t>
  </si>
  <si>
    <t>Passion Fruit Puree 百香果酱</t>
  </si>
  <si>
    <t>Fresh Pineapple Puree 凤梨果酱</t>
  </si>
  <si>
    <t>500 GM X 2 PKT</t>
  </si>
  <si>
    <t>Koufu - Drink                                         258 Pasir Ris Street 21,  Loyang Point, #02-313,  Singapore 510258</t>
  </si>
  <si>
    <t>P3067A</t>
  </si>
  <si>
    <t>Koufu Rasapura Masters                            2, Bayfront Avenue #B2-49A/50A Singapore 018972                                  (Nine Fresh Counter)</t>
  </si>
  <si>
    <t>Koufu Rasapura Masters                    2, Bayfront Avenue #B2-49A/50A Singapore 018972                              (Dim Dum)</t>
  </si>
  <si>
    <t>IR, Singapore Pool Stall                       2 Bayfront Avenue. #01-01  Singapore 018972</t>
  </si>
  <si>
    <t>Koufu Rasapura Masters                         2, Bayfront Avenue #B2-49A/50A Singapore 018972                              (Dessert)</t>
  </si>
  <si>
    <t>Koufu - Dim Sum                                       4 Bukit Batok Street 41,                       #01-22/23/24/25/26/27/28,                       Le Quest Mall, Singapore 657991</t>
  </si>
  <si>
    <t>KOUFU 480</t>
  </si>
  <si>
    <t>Y2024 GST</t>
  </si>
  <si>
    <t>New Price 1-4-2024</t>
  </si>
  <si>
    <t>1/1起调整价钱</t>
  </si>
  <si>
    <t>Rickson #04-177</t>
  </si>
  <si>
    <t>Koufu 467 Bukit Batok</t>
  </si>
  <si>
    <t>P3073</t>
  </si>
  <si>
    <t>Xia Gu Cao 夏古草</t>
  </si>
  <si>
    <t>1kg / Pkt</t>
  </si>
  <si>
    <t>Xi Yue Yuan Pte Ltd                                  Pioneer Central, 1 Soon Lee Street #01-32 Singapore 627605</t>
  </si>
  <si>
    <t>P2027A</t>
  </si>
  <si>
    <t>1KG/ Pkt</t>
  </si>
  <si>
    <t>P3074</t>
  </si>
  <si>
    <t>White Pepper 白胡椒粉 (100% pure)</t>
  </si>
  <si>
    <t>KI-FMD DESSERT SHOP</t>
  </si>
  <si>
    <t>FairPrice Hub Singpaore 629117</t>
  </si>
  <si>
    <t>1, Joo Koon Circle #13-01</t>
  </si>
  <si>
    <t>Attention: Miss Chen Hsin Ping</t>
  </si>
  <si>
    <t>YKGI FoodCourt Management Pte Ltd</t>
  </si>
  <si>
    <t>YKGI FOODCOURT MANAGEMENT PL            1, Stadium Place #02-16/K6. Sports Hub Retail Mall. Singapore 397628</t>
  </si>
  <si>
    <t xml:space="preserve">KI - FMD Dessert Shop                                                                          10 Senoko Way, Singapore 758031  Level 3 (Dessert)        </t>
  </si>
  <si>
    <t>Koufu - Drink                                             4 Bukit Batok Street 41,                       #01-22/23/24/25/26/27/28,                       Le Quest Mall, Singapore 657991</t>
  </si>
  <si>
    <t>Special Mixed Beans 8 宝豆</t>
  </si>
  <si>
    <t>3 KG/ Can罐</t>
  </si>
  <si>
    <t xml:space="preserve">KOUFU PTE LTD - Dim Sum                                    BLK 671, Edgefield Plains  #01-01                  Singapore 820671              </t>
  </si>
  <si>
    <t xml:space="preserve">KOUFU PTE LTD - Drink                                    BLK 671, Edgefield Plains  #01-01                  Singapore 820671              </t>
  </si>
  <si>
    <t>P6001C</t>
  </si>
  <si>
    <t>Koufu 735 Pasir Ris</t>
  </si>
  <si>
    <t>FLYING MAN飞人</t>
  </si>
  <si>
    <t>Koufu - Drink                                             Blk 57 Dawson Road, #02-09/10 Dawson Place, Singapore 142057</t>
  </si>
  <si>
    <t>Koufu - Dim Sum                                             Blk 57 Dawson Road, #02-09/10 Dawson Place, Singapore 142057</t>
  </si>
  <si>
    <t>180 Paya Lebar Road #09-05 
Yi Guang Building, Singapore 409032</t>
  </si>
  <si>
    <t>Rose 721</t>
  </si>
  <si>
    <t>P3063A</t>
  </si>
  <si>
    <t>M1046A</t>
  </si>
  <si>
    <t>BLACK SESAME PASTE 黑芝麻糊</t>
  </si>
  <si>
    <t>800 GM/ Box</t>
  </si>
  <si>
    <t>M1046B</t>
  </si>
  <si>
    <t>4 KGS/ Tub</t>
  </si>
  <si>
    <t>M1047</t>
  </si>
  <si>
    <t>ID#221</t>
  </si>
  <si>
    <t>ID#222</t>
  </si>
  <si>
    <t>ID#223</t>
  </si>
  <si>
    <t>ID#224</t>
  </si>
  <si>
    <t>ID#225</t>
  </si>
  <si>
    <t>Elemen</t>
  </si>
  <si>
    <t xml:space="preserve">Elemen @ Millenia Walk                            9 Raffles Boulevard, Millenia Walk    #01-75/75A/76 Singapore 039596 </t>
  </si>
  <si>
    <t xml:space="preserve">Elemen @ Paya Lebar Quarter                  10 Paya Lebar Road #03-13                    Paya Lebar Quarter, Singapore 409057 </t>
  </si>
  <si>
    <t xml:space="preserve">Elemen @ Great World City                         1 Kim Seng Promenade, #01-122,       Great World City, Singapore 237994 </t>
  </si>
  <si>
    <t>Elemen @ Koufu HQ                                      1 Woodlands Height #01-02 Singapore 737859</t>
  </si>
  <si>
    <t>NTUC Foodfare Co-operative Ltd</t>
  </si>
  <si>
    <t>1 Joo Koon Circle #13-01</t>
  </si>
  <si>
    <t>Fine Food @ NUS                                      1 Create Way #01-04. NUS University Town, Singapore 138602</t>
  </si>
  <si>
    <t>Lemongrass Flavour Aiyu Jelly</t>
  </si>
  <si>
    <t xml:space="preserve">Koufu - Dim Sum                                            370 Alexandra Road #B1-20/21 Anchorpoint, Singapore 159953      </t>
  </si>
  <si>
    <t xml:space="preserve">Koufu - Drink                                                  370 Alexandra Road #B1-20/21 Anchorpoint, Singapore 159953      </t>
  </si>
  <si>
    <t>GW 1 KG/ BOX</t>
  </si>
  <si>
    <t>Elemen @ Harbourfront Centre                  1 Maritime Square, #02-85                Singapore 099253</t>
  </si>
  <si>
    <t>0511PO00068116</t>
  </si>
  <si>
    <t>P2026</t>
  </si>
  <si>
    <t>BLUE KEY</t>
  </si>
  <si>
    <t>1KG X 12/ Ctn</t>
  </si>
  <si>
    <t>P2026A</t>
  </si>
  <si>
    <t>Self Raising Flour 自发面粉</t>
  </si>
  <si>
    <t>1KG/ Box</t>
  </si>
  <si>
    <t>Elemen F&amp;B Pte Ltd</t>
  </si>
  <si>
    <t xml:space="preserve">FOOD REPUBLIC PTE LTD                                  City Square@Juice Bar                                        180 Kitchener Road #04-31                  Singapore 208539                                           </t>
  </si>
  <si>
    <t xml:space="preserve">FOOD REPUBLIC PTE LTD                                  City Square@Drink Stall #14A                            180 Kitchener Road #04-31                  Singapore 208539                                           </t>
  </si>
  <si>
    <t>KOUFU ELEMEN</t>
  </si>
  <si>
    <t>KOUFU NINE FRESH</t>
  </si>
  <si>
    <t>ID#226</t>
  </si>
  <si>
    <t>Nine Fresh Pte Ltd</t>
  </si>
  <si>
    <t>Skinless Sweet Potato 去皮番薯</t>
  </si>
  <si>
    <t>Purple Sweet Potato 紫番薯</t>
  </si>
  <si>
    <t>Yam Skinless 去皮芋头</t>
  </si>
  <si>
    <t>Drink &amp; Dessert Stall                                         252 North Bridge Road.                                  #03-15/16/17 Raffles City Shopping Centre.  Singapore 189768.</t>
  </si>
  <si>
    <t>Nine Fresh</t>
  </si>
  <si>
    <t>ID#227</t>
  </si>
  <si>
    <t>Koufu - Dessert                                               100 Bukit Timah Rd, #01-28                    KK Hospital, Singapore 229899</t>
  </si>
  <si>
    <t>Raffle Girls' School                                              2, Braddell Rise, Singapore 31887</t>
  </si>
  <si>
    <t xml:space="preserve">Michael </t>
  </si>
  <si>
    <t>Tel: 96853003</t>
  </si>
  <si>
    <t>Bean Curd Jelly 豆花冻</t>
  </si>
  <si>
    <t>200 ml</t>
  </si>
  <si>
    <t>Bowl</t>
  </si>
  <si>
    <t>paynow</t>
  </si>
  <si>
    <t>P3028A</t>
  </si>
  <si>
    <t xml:space="preserve">Koufu - Drink                                            Block 478 Tampines Street 44                       #01-221 Singapore 250478                                               </t>
  </si>
  <si>
    <t xml:space="preserve">Koufu - DESSERT                                            Block 478 Tampines Street 44                       #01-221 Singapore 250478                                               </t>
  </si>
  <si>
    <t>ID#228</t>
  </si>
  <si>
    <t>Koufu - Drink                                                   215C Compassvale Drive, #01-06                  Singapore 543215</t>
  </si>
  <si>
    <t>INGCOD1067</t>
  </si>
  <si>
    <t>INGCOD1014</t>
  </si>
  <si>
    <t>INGCOD1058</t>
  </si>
  <si>
    <t>Tadpole JELLY  蝌蚪</t>
  </si>
  <si>
    <t>Deliver around 10:30am</t>
  </si>
  <si>
    <t>Combined Stalls                                               Junction 8. 9 Bishan Place                               #04-01. Junction 8 Shopping Centre. Singapore 579837</t>
  </si>
  <si>
    <t>DELIVERED ON 24/04/2024</t>
  </si>
  <si>
    <t>ID#229</t>
  </si>
  <si>
    <t>ID#230</t>
  </si>
  <si>
    <t>Koufu - Dim Sum                                            Koufu Food Court @ Woodlands Health    17 Woodlands Drive 17, #B1-03/04  Singapore 737628</t>
  </si>
  <si>
    <t>Koufu - Dessert                                               Koufu Food Court @ Woodlands Health    17 Woodlands Drive 17, #B1-03/04  Singapore 737628</t>
  </si>
  <si>
    <t>Greece</t>
  </si>
  <si>
    <t>Peaches Halves Quality 桃畔</t>
  </si>
  <si>
    <t>12can x 825G/Ctn箱</t>
  </si>
  <si>
    <t>Chendol 浆咯 (陈顺美）</t>
  </si>
  <si>
    <t>INGCOD1426</t>
  </si>
  <si>
    <t>ID#231</t>
  </si>
  <si>
    <t>Zuya Vegetarian Cafe                                      6 Raffles Boulevard #02-223,      Marina Square Mall,                       Singapore 039594</t>
  </si>
  <si>
    <t>P4033A</t>
  </si>
  <si>
    <t>1 BOTTLE</t>
  </si>
  <si>
    <t>Zuya Vegetarian</t>
  </si>
  <si>
    <t>ID#232</t>
  </si>
  <si>
    <t xml:space="preserve">FOOD REPUBLIC PTE LTD                                  City Square@Ice Shop                             180 Kitchener Road #B3-04                  Singapore 208539                                           </t>
  </si>
  <si>
    <t>weekly change to 100kg</t>
  </si>
  <si>
    <t>ID#233</t>
  </si>
  <si>
    <t>Koufu                                                                602B Tampines Ave 9, #01-01                  Singapore 522602</t>
  </si>
  <si>
    <t xml:space="preserve">FOOD REPUBLIC PTE LTD                                   Parkway Parade @Dessert                       80 Marine Parade Road #B1-85        Singapore 449269                            </t>
  </si>
  <si>
    <t>Kazuya Pte Ltd</t>
  </si>
  <si>
    <t>1550, Bedok North Ave 4, #02-32</t>
  </si>
  <si>
    <t>@ Bedok JTC Food City</t>
  </si>
  <si>
    <t>Singapore 489950</t>
  </si>
  <si>
    <t>Office mobile number: 8868 7090</t>
  </si>
  <si>
    <t>P3075</t>
  </si>
  <si>
    <t>Emping Belinjo 苦饼</t>
  </si>
  <si>
    <t>5kg / Ctn箱</t>
  </si>
  <si>
    <t>(565gm x 12)/ Ctn箱</t>
  </si>
  <si>
    <t>(565gm x 6)/ Ctn箱</t>
  </si>
  <si>
    <t>(3kg X 6)/ Ctn箱</t>
  </si>
  <si>
    <t>NW(2.1:0.9) 3kg/ Bag包</t>
  </si>
  <si>
    <t>NW(1.6:0.6) 2.2kg/ Bag包</t>
  </si>
  <si>
    <t>Coconut Milk 天然鲜椰浆</t>
  </si>
  <si>
    <t>Heng Guan</t>
  </si>
  <si>
    <t>500GM/ Pkt包</t>
  </si>
  <si>
    <t>NINE FRESH                                                       8A Admiralty Street                              Food Exchange #02-29                     Singapore 757437</t>
  </si>
  <si>
    <t>ID#234</t>
  </si>
  <si>
    <t>P3066D</t>
  </si>
  <si>
    <t>1 KGS</t>
  </si>
  <si>
    <t>ID#235</t>
  </si>
  <si>
    <t>0258PO00069093</t>
  </si>
  <si>
    <t>ID#236</t>
  </si>
  <si>
    <t>Koufu 478 Tampines</t>
  </si>
  <si>
    <t>Koufu KK Hospital</t>
  </si>
  <si>
    <t>Koufu Woodlands Health</t>
  </si>
  <si>
    <t>P2007E</t>
  </si>
  <si>
    <t>Aiyu Powder  爱玉粉</t>
  </si>
  <si>
    <t>50gms x 10 pkt</t>
  </si>
  <si>
    <t>(836gm x 12)/ Ctn箱</t>
  </si>
  <si>
    <t>(567gm x 24)/ Ctn箱</t>
  </si>
  <si>
    <t>P6002C</t>
  </si>
  <si>
    <t>滨海甜品                                                      Blk 248, Simei St 5. Singapore 520248</t>
  </si>
  <si>
    <t>Diablo Mart</t>
  </si>
  <si>
    <t>Select Group</t>
  </si>
  <si>
    <t>ID#237</t>
  </si>
  <si>
    <t>24A Senoko South Road</t>
  </si>
  <si>
    <t>Singapore 758099</t>
  </si>
  <si>
    <t>Attention: Miss Lily Ho</t>
  </si>
  <si>
    <t>Passion Fruit Puree 百香果</t>
  </si>
  <si>
    <t>70 Shenton Way, #16-11</t>
  </si>
  <si>
    <t>Singapore 079118</t>
  </si>
  <si>
    <t>Three Six Company Pte Ltd</t>
  </si>
  <si>
    <t>Food Junction Singapore Pte Ltd</t>
  </si>
  <si>
    <t>Fruit Cocktail Signature 杂果</t>
  </si>
  <si>
    <t>ID#238</t>
  </si>
  <si>
    <t xml:space="preserve">Koufu - DIM SUM                                            Block 478 Tampines Street 44                       #01-221 Singapore 250478                                               </t>
  </si>
  <si>
    <t>P2037</t>
  </si>
  <si>
    <t>M1048A</t>
  </si>
  <si>
    <t>Busy Honey Miel 蜂蜜</t>
  </si>
  <si>
    <t>Busy B</t>
  </si>
  <si>
    <t>Konniyaku Powder</t>
  </si>
  <si>
    <t>TC1100</t>
  </si>
  <si>
    <t>Peanut Paste 花生湖</t>
  </si>
  <si>
    <t>Select</t>
  </si>
  <si>
    <t>M1046C</t>
  </si>
  <si>
    <t>800 GM/ Pkt包</t>
  </si>
  <si>
    <t>ID#239</t>
  </si>
  <si>
    <t>M1029A</t>
  </si>
  <si>
    <t>150 ML/ Bowl</t>
  </si>
  <si>
    <t>M1049A</t>
  </si>
  <si>
    <t>Herbal Jelly 菊花罗汉果冻</t>
  </si>
  <si>
    <t>Diablo Mart Pte Ltd                                         Diablo Mart @ WE                                           30 Sunview Way, Singapore 627544                Contact: Thomas  Hp: 81279825</t>
  </si>
  <si>
    <t>Hawkers Street Tampines-Drinks Stall            10 Tampines Central 1, #05-05/06/07, Tampines 1, Singapore 529536</t>
  </si>
  <si>
    <t>105A740D</t>
  </si>
  <si>
    <t>0049PO00073952</t>
  </si>
  <si>
    <t>106B715A</t>
  </si>
  <si>
    <t>102C256B</t>
  </si>
  <si>
    <t>105A303D</t>
  </si>
  <si>
    <t>105A300C</t>
  </si>
  <si>
    <t>105B320B</t>
  </si>
  <si>
    <t>105D331C</t>
  </si>
  <si>
    <t>105B052B</t>
  </si>
  <si>
    <t>105B830L</t>
  </si>
  <si>
    <t>105D303B</t>
  </si>
  <si>
    <t>102C580E</t>
  </si>
  <si>
    <t>ID#240</t>
  </si>
  <si>
    <t>Hawkers Street BPP-Drinks Stall                       1 Jelebu Rd, Bukit Panjang Plaza,      #03-08 to 09, Singapore 677743  Contact person: Jia Ling 8909 0766</t>
  </si>
  <si>
    <t xml:space="preserve">Koufu Pte Ltd - Drink Stall                                          Republic Polytechnic. South Foodcourt                                           31 Woodland Ave 9                                  Singapore 737909                                                                            </t>
  </si>
  <si>
    <t>0049PO00073991</t>
  </si>
  <si>
    <t>102C126A</t>
  </si>
  <si>
    <t>102C160A</t>
  </si>
  <si>
    <t>105D304C</t>
  </si>
  <si>
    <t>106B720F</t>
  </si>
  <si>
    <t>102C525A</t>
  </si>
  <si>
    <t>105A771B</t>
  </si>
  <si>
    <t>105A304D</t>
  </si>
  <si>
    <t>105A520E</t>
  </si>
  <si>
    <t>105F631D</t>
  </si>
  <si>
    <t>105F635A</t>
  </si>
  <si>
    <t>102B312D</t>
  </si>
  <si>
    <t>106C400B</t>
  </si>
  <si>
    <t>NINE FRESH                                                      10 Admiralty Street, Northlink #04-53, Singapore 757695                               Contact: 65701012 (Ms Cindy)</t>
  </si>
  <si>
    <t>Kidney Bean 大红豆 (云南）</t>
  </si>
  <si>
    <t>105A800A</t>
  </si>
  <si>
    <t>105B310B</t>
  </si>
  <si>
    <t>105C003K</t>
  </si>
  <si>
    <t>105C009G</t>
  </si>
  <si>
    <t>105C018B</t>
  </si>
  <si>
    <t>105D102B</t>
  </si>
  <si>
    <t>105D400B</t>
  </si>
  <si>
    <t>106C483D</t>
  </si>
  <si>
    <t>106C491B</t>
  </si>
  <si>
    <t>1KG</t>
  </si>
  <si>
    <t>P6019</t>
  </si>
  <si>
    <t>Lemongrass 香茅</t>
  </si>
  <si>
    <t>Does not use whole corn (statue)</t>
  </si>
  <si>
    <t>P3037B</t>
  </si>
  <si>
    <t>8 MM</t>
  </si>
  <si>
    <t>Smoked Plum 乌梅</t>
  </si>
  <si>
    <t>P3054A</t>
  </si>
  <si>
    <t>ID#241</t>
  </si>
  <si>
    <t>Koufu-Drink Stall                                                1 Venture Avenue, #02-05,         Perennial Business City,         Singapore 608521</t>
  </si>
  <si>
    <t>COD/Paynow</t>
  </si>
  <si>
    <t>102C141A</t>
  </si>
  <si>
    <t>INGSUGR013</t>
  </si>
  <si>
    <t>P3063B</t>
  </si>
  <si>
    <t>P6020</t>
  </si>
  <si>
    <t>Frozen Mango 芒果冷冻</t>
  </si>
  <si>
    <t>P3002A</t>
  </si>
  <si>
    <t>FOOD DYNASTY PTE LTD                                      101 THOMSON ROAD #B1-56                      UNITED SQUARE SINGAPORE 307591</t>
  </si>
  <si>
    <t>106C407A</t>
  </si>
  <si>
    <t>Punggol OASIS (Gourmet Paradise) - Fruits Stall                                              681 Punggol Drive #04-01               OASIS Terraces, Singapore 820681</t>
  </si>
  <si>
    <t>Hawkers Street Pte Ltd</t>
  </si>
  <si>
    <t>Tiong Bahru Soya Bean                               52 Tiong Bahru Road #02-63.        Singapore 168716</t>
  </si>
  <si>
    <t>ID#242</t>
  </si>
  <si>
    <t>ID#243</t>
  </si>
  <si>
    <t>Universal Dining Pte Ltd</t>
  </si>
  <si>
    <t>Universal Dining T2- Stall 1- Drinks                60 Airport Boulevard, Terminal 2 Departure Transit Lounge,             Central Level 3, Singapore 819643  Contact person: Ben 85108039</t>
  </si>
  <si>
    <t>Pacific</t>
  </si>
  <si>
    <t>(565gm x 12)/箱</t>
  </si>
  <si>
    <t>ID#244</t>
  </si>
  <si>
    <t>Makan Street                                                  2 Jurong East Street 21, #03-55           IMM Building, Singapore 609601</t>
  </si>
  <si>
    <t>27 Woodlands Link #04-01</t>
  </si>
  <si>
    <t>Chang Cheng HQ</t>
  </si>
  <si>
    <t>Singapore 738732</t>
  </si>
  <si>
    <t>Chang Cheng F&amp;B</t>
  </si>
  <si>
    <t>01/10/2024 Price Adjustment 起调整价钱</t>
  </si>
  <si>
    <t>Water Chestnut Pop Ball White 马蹄爆珠-白</t>
  </si>
  <si>
    <t>Chang Cheng Food &amp; Beverage Pte Ltd</t>
  </si>
  <si>
    <t>P3076</t>
  </si>
  <si>
    <t>Peanut Powder 花生碎</t>
  </si>
  <si>
    <t>Diced Hawthorn 山楂碎</t>
  </si>
  <si>
    <t>500g/Pkt包</t>
  </si>
  <si>
    <t>Fine Food @The South Spine                    50, Nanyang Avenue South Spine Food Court Canteen B, Singapore 639798</t>
  </si>
  <si>
    <t>P2038A</t>
  </si>
  <si>
    <t>P2038B</t>
  </si>
  <si>
    <t>P2038C</t>
  </si>
  <si>
    <t>Snow Ice Powder-Strawberry 雪花冰粉-草莓</t>
  </si>
  <si>
    <t>Snow Ice Powder-Matcha 雪花冰粉-抹茶</t>
  </si>
  <si>
    <t>Price Adjustment 即日起调整价钱</t>
  </si>
  <si>
    <t>P3033A</t>
  </si>
  <si>
    <t>4 KG/ Btl支</t>
  </si>
  <si>
    <t>105B310E</t>
  </si>
  <si>
    <t>Chang Cheng</t>
  </si>
  <si>
    <t>ID#245</t>
  </si>
  <si>
    <t>ID#246</t>
  </si>
  <si>
    <t xml:space="preserve">R&amp;B TEA SINGAPORE                                 BLK 127 PLANTATION CRESCENT,        PLANTATION PLAZA #B1-14,                        SINGAPORE 690127 </t>
  </si>
  <si>
    <t>SengHong</t>
  </si>
  <si>
    <t>TeckSeng</t>
  </si>
  <si>
    <t>4 kg/ Btl支</t>
  </si>
  <si>
    <t>GW:5 KG/ Pkt包</t>
  </si>
  <si>
    <t>GW:5 KG/ Tub桶</t>
  </si>
  <si>
    <t>GW:1 KG/ Box盒</t>
  </si>
  <si>
    <t>Hawkers Street Ion@Drinks                        2 Orchard Turn, Ion Orchard               #B4-66, Singapore 238801                 Contact person: Jia Ling 8909 0766</t>
  </si>
  <si>
    <t>ID#247</t>
  </si>
  <si>
    <t>Koufu 548</t>
  </si>
  <si>
    <t>P6005A</t>
  </si>
  <si>
    <t>Woodlands 548 Foodcourt Pte Ltd                   Blk 548 Woodlands Drive 44,            #02-34, Singapore 730548</t>
  </si>
  <si>
    <t>Woodlands 548 Foodcourt Pte Ltd</t>
  </si>
  <si>
    <t>4 KG/ Pkt包</t>
  </si>
  <si>
    <t>M1016A</t>
  </si>
  <si>
    <t>GW: 5 KG/ Btl支</t>
  </si>
  <si>
    <t xml:space="preserve">Food Junction                                                    Westgate Combined Stalls                                   3 Gateway Drive, #B1-28/29 Westgate        Singapore 608532                           </t>
  </si>
  <si>
    <t>ID#248</t>
  </si>
  <si>
    <t>Kenny Wong     Mobile: 8732 2999                   51 Yishun Avenue 11, Yishun Park Hawker Centre #01-23, Singapore 768867</t>
  </si>
  <si>
    <t>Kenny Yishun Park Hawker</t>
  </si>
  <si>
    <t>GoldenBoy</t>
  </si>
  <si>
    <t>P4060</t>
  </si>
  <si>
    <t>(567gm x 12)/ Ctn箱</t>
  </si>
  <si>
    <t>Combined Stalls                                                       1 Kim Seng Promenade #03-116.              Great World City Singapore 237994</t>
  </si>
  <si>
    <t>Drink &amp; Dessert Stall                                          CCK Lots1 Stall #15.                                            21 Choa Chu Kang Ave 4, #04-15.                   Lot One Shoppers Mall. Singapore 689812</t>
  </si>
  <si>
    <t>Juice Stall                                                            Jewel Changi Airport. Five Spice, Stall #01. 78, Airport Boulevard. #B2-238/239/240. (819666)</t>
  </si>
  <si>
    <t>DRINK &amp; DESSERT STALL                                  Nex 23 Serangoon Central                               #04-16. Nex Shopping Mall. Singapore 556083</t>
  </si>
  <si>
    <t>ID#249</t>
  </si>
  <si>
    <t xml:space="preserve">FOOD REPUBLIC PTE LTD                        Wisma Atria Orchard@Juice Bar.          435 Orchard Road #04-02                Wisma Atria, Singapore 238877                           </t>
  </si>
  <si>
    <t xml:space="preserve">FOOD REPUBLIC PTE LTD                        Wisma Atria Orchard@Drink Stall.          435 Orchard Road #04-02                Wisma Atria, Singapore 238877                           </t>
  </si>
  <si>
    <t>Minimum order quantiy (MOQ) is $150 for delivery to be arranged.  Thank you.</t>
  </si>
  <si>
    <t>P7027</t>
  </si>
  <si>
    <t>Lychee</t>
  </si>
  <si>
    <t xml:space="preserve">DELI ASIA (S) PTE LTD                                      1, Woodlands Height #01-03,                         #06-02    SINGAPORE 737859                  </t>
  </si>
  <si>
    <t>M1016B</t>
  </si>
  <si>
    <t>10 PCS/PKT</t>
  </si>
  <si>
    <t>Paradise Oriental Pte Ltd                                                                             200 Victoria Street, Bugis Junction #02-50 Singapore 188021</t>
  </si>
  <si>
    <t>Paradise Oriental Pte Ltd</t>
  </si>
  <si>
    <t>Paradise</t>
  </si>
  <si>
    <t>0511PO00071049</t>
  </si>
  <si>
    <t>0258PO00070739</t>
  </si>
  <si>
    <t>Hill Street Coffee Shop- T3 Drinks 7                 65 Airport Boulevard, Level 3     Terminal 3 Departure Transit Area, Singapore 819663                                  Contact person: Ben 85108039</t>
  </si>
  <si>
    <t>ID#250</t>
  </si>
  <si>
    <t xml:space="preserve">FOOD REPUBLIC PTE LTD                                   ION Orchard @ Fruit Stall                           2, Orchard Turn #B4-03/04        Singapore 238801                                           </t>
  </si>
  <si>
    <t xml:space="preserve">FOOD REPUBLIC PTE LTD                                   ION Orchard @ Drink Stall                          2, Orchard Turn #B4-03/04        Singapore 238801                                           </t>
  </si>
  <si>
    <t>P4061</t>
  </si>
  <si>
    <t>P4061A</t>
  </si>
  <si>
    <t>Fine Food (F&amp;B) Pte Ltd</t>
  </si>
  <si>
    <t>ID#251</t>
  </si>
  <si>
    <t>Koufu-Drink Stall                                                127 Plantation Crescent, 03-02,  Plantation Plaza, Singapore 690127</t>
  </si>
  <si>
    <t>ID#252</t>
  </si>
  <si>
    <t>Fullybooked</t>
  </si>
  <si>
    <t>45 Tai Thong Crescent</t>
  </si>
  <si>
    <t>Singapore 347866</t>
  </si>
  <si>
    <t>Fullybooked                                                         45 Tai Thong Crescent,                Singapore 347866</t>
  </si>
  <si>
    <t>P1012</t>
  </si>
  <si>
    <t>QQ Jelly</t>
  </si>
  <si>
    <t>P4062</t>
  </si>
  <si>
    <t>Pomelo in Syrup 柚子</t>
  </si>
  <si>
    <t>(850gm x 12)/ Ctn箱</t>
  </si>
  <si>
    <t>P2023A</t>
  </si>
  <si>
    <t>600 gm/pkt包</t>
  </si>
  <si>
    <t>Snow Ice Powder-Mango 雪花冰粉-杨枝甘露</t>
  </si>
  <si>
    <t>E067663</t>
  </si>
  <si>
    <t>P2039C</t>
  </si>
  <si>
    <t>Matcha Powder-抹茶粉</t>
  </si>
  <si>
    <t>M1036E</t>
  </si>
  <si>
    <t>Snow Ice - Vanilla 雪花冰-香草</t>
  </si>
  <si>
    <t>Snow Ice - White Coconut 雪花冰-椰子</t>
  </si>
  <si>
    <t>P4063</t>
  </si>
  <si>
    <t>2 kg</t>
  </si>
  <si>
    <t>Paradise Hotpot Pte Ltd                                                                             Westgate Drive, Westgate, #03-10/11 Singapore 608532</t>
  </si>
  <si>
    <t>ID#253</t>
  </si>
  <si>
    <t>P3077</t>
  </si>
  <si>
    <t>Strawberry Syrup 草莓</t>
  </si>
  <si>
    <t>104D500A</t>
  </si>
  <si>
    <t>104D501B</t>
  </si>
  <si>
    <t>R&amp;B TEA SINGAPORE                                    2 BAYFRONT AVENUE                              #B2-49/53 MARINA BAY SANDS, SINGAPORE 018972</t>
  </si>
  <si>
    <t>107B400C</t>
  </si>
  <si>
    <t>R&amp;B TEA SINGAPORE                                          9 RAFFLES BOULEVARD                                #01-K15 MILLENIA WALK,        SINGAPORE 039596</t>
  </si>
  <si>
    <t xml:space="preserve">FOOD REPUBLIC PTE LTD                           Somerset Orchard@Ice shop No: 17      313 Orchard Road #05-01                Singapore 238895                           </t>
  </si>
  <si>
    <t>ID#254</t>
  </si>
  <si>
    <t>Old Chang Kee Singapore Pte. Ltd.                   2 Woodlands Terrace,                 Singapore 738427</t>
  </si>
  <si>
    <t>Old Chang Kee Singapore Pte. Ltd.</t>
  </si>
  <si>
    <t>M1028A</t>
  </si>
  <si>
    <t>600 GM/ Bag包</t>
  </si>
  <si>
    <t>Old Chang Kee</t>
  </si>
  <si>
    <t>3 Colours Taro/ Sweet Potato Ball</t>
  </si>
  <si>
    <t>Chocolate Syrup 可可</t>
  </si>
  <si>
    <t>R&amp;B TEA SINGAPORE                                 101 THOMSON ROAD                              #02-K1 UNITED SQUARE,              SINGAPORE 307591</t>
  </si>
  <si>
    <t>Koufu - Drinks                                                              70 Jellicoe Road #01-03                         V Hotel Lavender,                    Singapore 208767</t>
  </si>
  <si>
    <t xml:space="preserve">Koufu - Dessert                                    Sengkang General Community Hospital. 110 Sengkang East Way, #01-21 Singapore 544886                                 Attn: Jane  HP: 80636808                                                    </t>
  </si>
  <si>
    <t>0049PO00076222</t>
  </si>
  <si>
    <t>NF49PO000444</t>
  </si>
  <si>
    <t>Combines Stall / Century Square                           Stall #01                                                                    2, Tampines Central 5, #03-20       Century Square</t>
  </si>
  <si>
    <t xml:space="preserve">Koufu -  Dim Sum                                          9 Tampines Street 32,   Tampines Mart. Singapore 529287.             </t>
  </si>
  <si>
    <t xml:space="preserve">Koufu - Dessert                                             9, Tampines Street 32,   Tampines Mart. Singapore 529287.             </t>
  </si>
  <si>
    <t>R&amp;B TEA SINGAPORE                                 681 PUNGGOL DRIVE                                #B1-03 OASIS TERRACES,            SINGAPORE 820681</t>
  </si>
  <si>
    <t>FMD FOOD MANUFACTURING (FMD DESSERT)                                                                    10 Senoko Way, Singapore 758031  Level 3 (Dessert)                            Contact Person:  Mei Yei Low</t>
  </si>
  <si>
    <t>PO-40-308897</t>
  </si>
  <si>
    <t>Punggol OASIS (Gourmet Paradise) - Drink Stall                                                681 Punggol Drive #04-01               OASIS Terraces, Singapore 820681</t>
  </si>
  <si>
    <t>R&amp;B TEA SINGAPORE                                  30 SEMBAWANG DRIVE                           #B1-38 SUN PLAZA,                   SINGAPORE 757713</t>
  </si>
  <si>
    <t>141.101413</t>
  </si>
  <si>
    <t>269.100809</t>
  </si>
  <si>
    <t>105D571B</t>
  </si>
  <si>
    <t>RTE 010</t>
  </si>
  <si>
    <t>Almond Jelly with Longan 龙眼杏仁果冻</t>
  </si>
  <si>
    <t>230 GM/ Bowl</t>
  </si>
  <si>
    <t>FOC</t>
  </si>
  <si>
    <t>RTE 004</t>
  </si>
  <si>
    <t>900G</t>
  </si>
  <si>
    <t>Red Pomelo Syrup</t>
  </si>
  <si>
    <t>Paradise Hotpot Pte Ltd</t>
  </si>
  <si>
    <t>TOTAL Dec 2024 SALES</t>
  </si>
  <si>
    <t>Today Kampung Chicken Rice Restaurant 日日茶室                                                               71 Seng Poh Road #01-49                 Singapore 160071</t>
  </si>
  <si>
    <t>OCK</t>
  </si>
  <si>
    <t>ID#255</t>
  </si>
  <si>
    <t>FOOD REPUBLIC PTE LTD                                  Serangoon Nex@ICE SHOP                    23, Serangoon Central #B2-63                      Singapore 550683</t>
  </si>
  <si>
    <t>15/1/2025 Price Adjustment 起调整价钱</t>
  </si>
  <si>
    <t>2.6 KGS</t>
  </si>
  <si>
    <t>P3033B</t>
  </si>
  <si>
    <t>Price Adjustment即日起调整价钱</t>
  </si>
  <si>
    <t>NTUCAFEPO25040058</t>
  </si>
  <si>
    <t>ID#256</t>
  </si>
  <si>
    <t>ID#257</t>
  </si>
  <si>
    <t>ID#258</t>
  </si>
  <si>
    <t>ID#259</t>
  </si>
  <si>
    <t>ID#260</t>
  </si>
  <si>
    <t>ID#261</t>
  </si>
  <si>
    <t>XiaoYan Desserts                                             7 Fraser Street #B3-20,                             Duo Galleria, Singapore 189356</t>
  </si>
  <si>
    <t>M1052</t>
  </si>
  <si>
    <t>NW(1.5:0.5) 2kg/ Pkt包</t>
  </si>
  <si>
    <t>NW(2.2:0.8) 3kg/ Pkt包</t>
  </si>
  <si>
    <t>Taro Puree 芋泥</t>
  </si>
  <si>
    <t>800 gm/ Pkt包</t>
  </si>
  <si>
    <t>P3027B</t>
  </si>
  <si>
    <t>3 kg/ Pkt包</t>
  </si>
  <si>
    <t>5 kg/ Pkt包</t>
  </si>
  <si>
    <t>1 kg/ Pkt包</t>
  </si>
  <si>
    <t>25 kg/ Bag包</t>
  </si>
  <si>
    <t>5 kg/ Bag包</t>
  </si>
  <si>
    <t>1/5/2025 Price Adjustment 起调整价钱</t>
  </si>
  <si>
    <t>2 kg/ Pkt包</t>
  </si>
  <si>
    <t>15/4/2025 Price Adjustment 起调整价钱</t>
  </si>
  <si>
    <t>0622PO00074741</t>
  </si>
  <si>
    <t>甜甜                                                                         Tiong Bahru Market.                                 30 Seng Poh Road #02-15.       Singapore 168898</t>
  </si>
  <si>
    <t>PO-89-01699</t>
  </si>
  <si>
    <t>135.101457</t>
  </si>
  <si>
    <t>KFG-PO-00025267</t>
  </si>
  <si>
    <t>Next Delivery Price Adjustment 下次送货起调整价钱</t>
  </si>
  <si>
    <t>582.000459</t>
  </si>
  <si>
    <t>0258PO00072054</t>
  </si>
  <si>
    <t>PO-DA-0000013158</t>
  </si>
  <si>
    <t>101-107PO25040052</t>
  </si>
  <si>
    <t>101-107PO25040050</t>
  </si>
  <si>
    <t>562.000623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</si>
</sst>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_-&quot;$&quot;* #,##0.00_-;\-&quot;$&quot;* #,##0.00_-;_-&quot;$&quot;* &quot;-&quot;??_-;_-@_-"/>
    <numFmt numFmtId="165" formatCode="_-&quot;$&quot;* #,##0.0_-;\-&quot;$&quot;* #,##0.0_-;_-&quot;$&quot;* &quot;-&quot;??_-;_-@_-"/>
    <numFmt numFmtId="166" formatCode="d\/m\/yyyy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1"/>
      <name val="Arial"/>
      <family val="2"/>
    </font>
    <font>
      <b/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u/>
      <sz val="14"/>
      <name val="Calibri"/>
      <family val="2"/>
      <scheme val="minor"/>
    </font>
    <font>
      <sz val="16"/>
      <color theme="1"/>
      <name val="Tahoma"/>
      <family val="2"/>
    </font>
    <font>
      <b/>
      <sz val="13.5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.5"/>
      <color theme="1"/>
      <name val="Calibri"/>
      <family val="2"/>
      <scheme val="minor"/>
    </font>
    <font>
      <b/>
      <sz val="13"/>
      <name val="Calibri"/>
      <family val="2"/>
      <scheme val="minor"/>
    </font>
    <font>
      <b/>
      <sz val="13.5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sz val="12.6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9.5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double">
        <color auto="1"/>
      </top>
      <bottom style="double">
        <color auto="1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607">
    <xf numFmtId="0" fontId="0" fillId="0" borderId="0" xfId="0"/>
    <xf numFmtId="0" fontId="0" fillId="0" borderId="1" xfId="0" applyBorder="1"/>
    <xf numFmtId="0" fontId="0" fillId="2" borderId="1" xfId="0" applyFill="1" applyBorder="1"/>
    <xf numFmtId="0" fontId="0" fillId="0" borderId="1" xfId="0" applyBorder="1" applyAlignment="1">
      <alignment vertical="center"/>
    </xf>
    <xf numFmtId="165" fontId="0" fillId="0" borderId="0" xfId="1" applyNumberFormat="1" applyFont="1" applyFill="1"/>
    <xf numFmtId="0" fontId="0" fillId="0" borderId="1" xfId="0" applyBorder="1" applyAlignment="1">
      <alignment horizontal="center"/>
    </xf>
    <xf numFmtId="0" fontId="5" fillId="0" borderId="0" xfId="0" applyFont="1"/>
    <xf numFmtId="0" fontId="6" fillId="2" borderId="25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5" fillId="0" borderId="2" xfId="0" applyFont="1" applyBorder="1"/>
    <xf numFmtId="0" fontId="7" fillId="5" borderId="1" xfId="0" applyFont="1" applyFill="1" applyBorder="1"/>
    <xf numFmtId="0" fontId="0" fillId="5" borderId="1" xfId="0" applyFill="1" applyBorder="1"/>
    <xf numFmtId="0" fontId="7" fillId="0" borderId="1" xfId="0" applyFont="1" applyBorder="1"/>
    <xf numFmtId="0" fontId="2" fillId="0" borderId="0" xfId="0" applyFont="1"/>
    <xf numFmtId="0" fontId="6" fillId="2" borderId="27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0" fontId="8" fillId="0" borderId="0" xfId="0" applyFont="1"/>
    <xf numFmtId="0" fontId="9" fillId="0" borderId="0" xfId="0" applyFont="1" applyAlignment="1">
      <alignment vertical="top" wrapText="1"/>
    </xf>
    <xf numFmtId="0" fontId="9" fillId="0" borderId="0" xfId="0" applyFont="1" applyAlignment="1">
      <alignment horizontal="center" vertical="top" wrapText="1"/>
    </xf>
    <xf numFmtId="0" fontId="9" fillId="0" borderId="0" xfId="0" applyFont="1" applyAlignment="1">
      <alignment vertical="top"/>
    </xf>
    <xf numFmtId="0" fontId="8" fillId="0" borderId="0" xfId="0" applyFont="1" applyAlignment="1">
      <alignment horizontal="right" vertical="center"/>
    </xf>
    <xf numFmtId="0" fontId="8" fillId="0" borderId="17" xfId="0" applyFont="1" applyBorder="1"/>
    <xf numFmtId="0" fontId="8" fillId="0" borderId="0" xfId="0" applyFont="1" applyAlignment="1">
      <alignment vertical="top" wrapText="1"/>
    </xf>
    <xf numFmtId="0" fontId="8" fillId="0" borderId="20" xfId="0" applyFont="1" applyBorder="1"/>
    <xf numFmtId="0" fontId="8" fillId="0" borderId="22" xfId="0" applyFont="1" applyBorder="1"/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/>
    </xf>
    <xf numFmtId="164" fontId="8" fillId="0" borderId="0" xfId="1" applyFont="1" applyBorder="1" applyAlignment="1">
      <alignment horizontal="center"/>
    </xf>
    <xf numFmtId="164" fontId="8" fillId="0" borderId="3" xfId="1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164" fontId="8" fillId="0" borderId="7" xfId="1" applyFont="1" applyBorder="1" applyAlignment="1">
      <alignment horizontal="center"/>
    </xf>
    <xf numFmtId="164" fontId="8" fillId="0" borderId="5" xfId="1" applyFont="1" applyBorder="1" applyAlignment="1">
      <alignment horizontal="center"/>
    </xf>
    <xf numFmtId="0" fontId="8" fillId="0" borderId="2" xfId="0" applyFont="1" applyBorder="1"/>
    <xf numFmtId="0" fontId="8" fillId="0" borderId="3" xfId="0" applyFont="1" applyBorder="1"/>
    <xf numFmtId="164" fontId="8" fillId="0" borderId="8" xfId="0" applyNumberFormat="1" applyFont="1" applyBorder="1"/>
    <xf numFmtId="0" fontId="8" fillId="0" borderId="12" xfId="0" applyFont="1" applyBorder="1" applyAlignment="1">
      <alignment horizontal="left"/>
    </xf>
    <xf numFmtId="9" fontId="8" fillId="0" borderId="13" xfId="0" applyNumberFormat="1" applyFont="1" applyBorder="1" applyAlignment="1">
      <alignment horizontal="center"/>
    </xf>
    <xf numFmtId="164" fontId="8" fillId="0" borderId="11" xfId="0" applyNumberFormat="1" applyFont="1" applyBorder="1"/>
    <xf numFmtId="164" fontId="8" fillId="0" borderId="11" xfId="1" applyFont="1" applyBorder="1"/>
    <xf numFmtId="164" fontId="8" fillId="0" borderId="6" xfId="0" applyNumberFormat="1" applyFont="1" applyBorder="1"/>
    <xf numFmtId="0" fontId="8" fillId="0" borderId="15" xfId="0" applyFont="1" applyBorder="1"/>
    <xf numFmtId="0" fontId="8" fillId="0" borderId="14" xfId="0" applyFont="1" applyBorder="1"/>
    <xf numFmtId="0" fontId="8" fillId="0" borderId="16" xfId="0" applyFont="1" applyBorder="1"/>
    <xf numFmtId="0" fontId="8" fillId="0" borderId="4" xfId="0" applyFont="1" applyBorder="1"/>
    <xf numFmtId="0" fontId="8" fillId="0" borderId="7" xfId="0" applyFont="1" applyBorder="1"/>
    <xf numFmtId="0" fontId="8" fillId="0" borderId="5" xfId="0" applyFont="1" applyBorder="1"/>
    <xf numFmtId="0" fontId="9" fillId="0" borderId="4" xfId="0" applyFont="1" applyBorder="1" applyAlignment="1">
      <alignment vertical="top" wrapText="1"/>
    </xf>
    <xf numFmtId="0" fontId="9" fillId="0" borderId="7" xfId="0" applyFont="1" applyBorder="1" applyAlignment="1">
      <alignment vertical="top" wrapText="1"/>
    </xf>
    <xf numFmtId="0" fontId="9" fillId="0" borderId="5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center"/>
    </xf>
    <xf numFmtId="0" fontId="0" fillId="4" borderId="1" xfId="0" applyFill="1" applyBorder="1"/>
    <xf numFmtId="0" fontId="0" fillId="4" borderId="1" xfId="0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3" fillId="0" borderId="1" xfId="2" applyBorder="1" applyAlignment="1">
      <alignment vertical="center"/>
    </xf>
    <xf numFmtId="0" fontId="7" fillId="2" borderId="1" xfId="0" applyFont="1" applyFill="1" applyBorder="1"/>
    <xf numFmtId="0" fontId="13" fillId="0" borderId="4" xfId="2" applyBorder="1" applyAlignment="1">
      <alignment vertical="top" wrapText="1"/>
    </xf>
    <xf numFmtId="0" fontId="0" fillId="2" borderId="1" xfId="0" applyFill="1" applyBorder="1" applyAlignment="1">
      <alignment horizontal="center" vertical="center"/>
    </xf>
    <xf numFmtId="164" fontId="8" fillId="0" borderId="0" xfId="0" applyNumberFormat="1" applyFont="1"/>
    <xf numFmtId="164" fontId="14" fillId="0" borderId="3" xfId="1" applyFont="1" applyBorder="1" applyAlignment="1">
      <alignment horizontal="center"/>
    </xf>
    <xf numFmtId="0" fontId="14" fillId="0" borderId="0" xfId="0" applyFont="1"/>
    <xf numFmtId="0" fontId="15" fillId="0" borderId="2" xfId="0" applyFont="1" applyBorder="1" applyAlignment="1">
      <alignment horizontal="center"/>
    </xf>
    <xf numFmtId="0" fontId="16" fillId="0" borderId="0" xfId="0" applyFont="1"/>
    <xf numFmtId="0" fontId="16" fillId="0" borderId="17" xfId="0" applyFont="1" applyBorder="1"/>
    <xf numFmtId="0" fontId="16" fillId="0" borderId="20" xfId="0" applyFont="1" applyBorder="1"/>
    <xf numFmtId="0" fontId="16" fillId="0" borderId="22" xfId="0" applyFont="1" applyBorder="1"/>
    <xf numFmtId="0" fontId="16" fillId="0" borderId="0" xfId="0" applyFont="1" applyAlignment="1">
      <alignment horizontal="center"/>
    </xf>
    <xf numFmtId="0" fontId="17" fillId="0" borderId="0" xfId="0" applyFont="1"/>
    <xf numFmtId="0" fontId="16" fillId="0" borderId="14" xfId="0" applyFont="1" applyBorder="1"/>
    <xf numFmtId="0" fontId="16" fillId="0" borderId="7" xfId="0" applyFont="1" applyBorder="1"/>
    <xf numFmtId="164" fontId="14" fillId="0" borderId="5" xfId="1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8" fillId="0" borderId="2" xfId="0" applyFont="1" applyBorder="1" applyAlignment="1">
      <alignment horizontal="center"/>
    </xf>
    <xf numFmtId="0" fontId="13" fillId="0" borderId="0" xfId="2"/>
    <xf numFmtId="164" fontId="14" fillId="0" borderId="0" xfId="1" applyFont="1" applyBorder="1" applyAlignment="1">
      <alignment horizontal="center"/>
    </xf>
    <xf numFmtId="2" fontId="14" fillId="0" borderId="0" xfId="0" applyNumberFormat="1" applyFont="1"/>
    <xf numFmtId="0" fontId="20" fillId="0" borderId="0" xfId="0" applyFont="1" applyAlignment="1">
      <alignment horizontal="center"/>
    </xf>
    <xf numFmtId="164" fontId="14" fillId="0" borderId="0" xfId="1" applyFont="1" applyFill="1" applyBorder="1" applyAlignment="1">
      <alignment horizontal="center"/>
    </xf>
    <xf numFmtId="164" fontId="14" fillId="0" borderId="3" xfId="1" applyFont="1" applyFill="1" applyBorder="1" applyAlignment="1">
      <alignment horizontal="center"/>
    </xf>
    <xf numFmtId="0" fontId="6" fillId="0" borderId="0" xfId="0" applyFont="1"/>
    <xf numFmtId="0" fontId="6" fillId="0" borderId="17" xfId="0" applyFont="1" applyBorder="1"/>
    <xf numFmtId="0" fontId="6" fillId="0" borderId="20" xfId="0" applyFont="1" applyBorder="1"/>
    <xf numFmtId="0" fontId="6" fillId="0" borderId="22" xfId="0" applyFont="1" applyBorder="1"/>
    <xf numFmtId="0" fontId="6" fillId="0" borderId="14" xfId="0" applyFont="1" applyBorder="1"/>
    <xf numFmtId="0" fontId="6" fillId="0" borderId="7" xfId="0" applyFont="1" applyBorder="1"/>
    <xf numFmtId="0" fontId="13" fillId="0" borderId="1" xfId="2" applyBorder="1"/>
    <xf numFmtId="164" fontId="15" fillId="0" borderId="3" xfId="1" applyFont="1" applyBorder="1" applyAlignment="1">
      <alignment horizontal="center"/>
    </xf>
    <xf numFmtId="0" fontId="15" fillId="0" borderId="0" xfId="0" applyFont="1"/>
    <xf numFmtId="0" fontId="13" fillId="0" borderId="1" xfId="2" applyFill="1" applyBorder="1" applyAlignment="1">
      <alignment vertical="center"/>
    </xf>
    <xf numFmtId="164" fontId="14" fillId="0" borderId="14" xfId="1" applyFont="1" applyFill="1" applyBorder="1" applyAlignment="1">
      <alignment horizontal="center"/>
    </xf>
    <xf numFmtId="164" fontId="15" fillId="0" borderId="3" xfId="1" applyFont="1" applyFill="1" applyBorder="1" applyAlignment="1">
      <alignment horizontal="center"/>
    </xf>
    <xf numFmtId="0" fontId="15" fillId="0" borderId="14" xfId="0" applyFont="1" applyBorder="1" applyAlignment="1">
      <alignment horizontal="center"/>
    </xf>
    <xf numFmtId="164" fontId="14" fillId="0" borderId="16" xfId="1" applyFont="1" applyFill="1" applyBorder="1" applyAlignment="1">
      <alignment horizontal="center"/>
    </xf>
    <xf numFmtId="164" fontId="8" fillId="0" borderId="0" xfId="1" applyFont="1" applyFill="1" applyBorder="1" applyAlignment="1">
      <alignment horizontal="center"/>
    </xf>
    <xf numFmtId="164" fontId="16" fillId="0" borderId="0" xfId="1" applyFont="1" applyBorder="1" applyAlignment="1">
      <alignment horizontal="center"/>
    </xf>
    <xf numFmtId="164" fontId="16" fillId="0" borderId="3" xfId="1" applyFont="1" applyBorder="1" applyAlignment="1">
      <alignment horizontal="center"/>
    </xf>
    <xf numFmtId="0" fontId="8" fillId="0" borderId="12" xfId="0" applyFont="1" applyBorder="1"/>
    <xf numFmtId="9" fontId="8" fillId="0" borderId="13" xfId="0" applyNumberFormat="1" applyFont="1" applyBorder="1"/>
    <xf numFmtId="0" fontId="8" fillId="0" borderId="15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164" fontId="14" fillId="0" borderId="14" xfId="1" applyFont="1" applyBorder="1" applyAlignment="1">
      <alignment horizontal="center"/>
    </xf>
    <xf numFmtId="164" fontId="14" fillId="0" borderId="16" xfId="1" applyFont="1" applyBorder="1" applyAlignment="1">
      <alignment horizontal="center"/>
    </xf>
    <xf numFmtId="164" fontId="8" fillId="0" borderId="14" xfId="1" applyFont="1" applyBorder="1" applyAlignment="1">
      <alignment horizontal="center"/>
    </xf>
    <xf numFmtId="0" fontId="6" fillId="2" borderId="38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 wrapText="1"/>
    </xf>
    <xf numFmtId="0" fontId="6" fillId="2" borderId="40" xfId="0" applyFont="1" applyFill="1" applyBorder="1" applyAlignment="1">
      <alignment horizontal="center" vertical="center" wrapText="1"/>
    </xf>
    <xf numFmtId="0" fontId="6" fillId="2" borderId="39" xfId="0" applyFont="1" applyFill="1" applyBorder="1" applyAlignment="1">
      <alignment horizontal="center" vertical="center"/>
    </xf>
    <xf numFmtId="0" fontId="14" fillId="0" borderId="7" xfId="0" applyFont="1" applyBorder="1" applyAlignment="1">
      <alignment horizontal="center"/>
    </xf>
    <xf numFmtId="164" fontId="8" fillId="0" borderId="7" xfId="1" applyFont="1" applyFill="1" applyBorder="1" applyAlignment="1">
      <alignment horizontal="center"/>
    </xf>
    <xf numFmtId="164" fontId="14" fillId="0" borderId="5" xfId="1" applyFont="1" applyFill="1" applyBorder="1" applyAlignment="1">
      <alignment horizontal="center"/>
    </xf>
    <xf numFmtId="0" fontId="8" fillId="2" borderId="39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8" fillId="0" borderId="24" xfId="0" applyFont="1" applyBorder="1"/>
    <xf numFmtId="0" fontId="8" fillId="3" borderId="23" xfId="0" applyFont="1" applyFill="1" applyBorder="1" applyAlignment="1">
      <alignment horizontal="center"/>
    </xf>
    <xf numFmtId="164" fontId="8" fillId="0" borderId="14" xfId="1" applyFont="1" applyFill="1" applyBorder="1" applyAlignment="1">
      <alignment horizontal="center"/>
    </xf>
    <xf numFmtId="164" fontId="8" fillId="0" borderId="41" xfId="0" applyNumberFormat="1" applyFont="1" applyBorder="1"/>
    <xf numFmtId="0" fontId="6" fillId="0" borderId="15" xfId="0" applyFont="1" applyBorder="1" applyAlignment="1">
      <alignment horizontal="center"/>
    </xf>
    <xf numFmtId="0" fontId="8" fillId="0" borderId="43" xfId="0" applyFont="1" applyBorder="1"/>
    <xf numFmtId="0" fontId="6" fillId="0" borderId="14" xfId="0" applyFont="1" applyBorder="1" applyAlignment="1">
      <alignment horizontal="center"/>
    </xf>
    <xf numFmtId="164" fontId="8" fillId="0" borderId="16" xfId="1" applyFont="1" applyBorder="1" applyAlignment="1">
      <alignment horizontal="center"/>
    </xf>
    <xf numFmtId="0" fontId="8" fillId="0" borderId="42" xfId="0" applyFont="1" applyBorder="1"/>
    <xf numFmtId="164" fontId="14" fillId="11" borderId="3" xfId="1" applyFont="1" applyFill="1" applyBorder="1" applyAlignment="1">
      <alignment horizontal="center"/>
    </xf>
    <xf numFmtId="0" fontId="8" fillId="0" borderId="45" xfId="0" applyFont="1" applyBorder="1"/>
    <xf numFmtId="0" fontId="14" fillId="0" borderId="14" xfId="0" applyFont="1" applyBorder="1" applyAlignment="1">
      <alignment horizontal="center"/>
    </xf>
    <xf numFmtId="0" fontId="8" fillId="11" borderId="0" xfId="0" applyFont="1" applyFill="1" applyAlignment="1">
      <alignment horizontal="center"/>
    </xf>
    <xf numFmtId="0" fontId="8" fillId="3" borderId="23" xfId="0" applyFont="1" applyFill="1" applyBorder="1"/>
    <xf numFmtId="0" fontId="3" fillId="0" borderId="1" xfId="0" applyFont="1" applyBorder="1"/>
    <xf numFmtId="9" fontId="8" fillId="0" borderId="0" xfId="3" applyFont="1"/>
    <xf numFmtId="0" fontId="8" fillId="7" borderId="23" xfId="0" applyFont="1" applyFill="1" applyBorder="1" applyAlignment="1">
      <alignment horizontal="center"/>
    </xf>
    <xf numFmtId="0" fontId="12" fillId="0" borderId="0" xfId="0" applyFont="1"/>
    <xf numFmtId="0" fontId="8" fillId="0" borderId="23" xfId="0" applyFont="1" applyBorder="1"/>
    <xf numFmtId="164" fontId="20" fillId="0" borderId="3" xfId="1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0" fillId="0" borderId="15" xfId="0" applyFont="1" applyBorder="1" applyAlignment="1">
      <alignment horizontal="center"/>
    </xf>
    <xf numFmtId="0" fontId="14" fillId="0" borderId="14" xfId="0" applyFont="1" applyBorder="1"/>
    <xf numFmtId="0" fontId="20" fillId="0" borderId="2" xfId="0" applyFont="1" applyBorder="1"/>
    <xf numFmtId="0" fontId="12" fillId="0" borderId="2" xfId="0" applyFont="1" applyBorder="1"/>
    <xf numFmtId="164" fontId="14" fillId="0" borderId="8" xfId="0" applyNumberFormat="1" applyFont="1" applyBorder="1"/>
    <xf numFmtId="0" fontId="9" fillId="0" borderId="2" xfId="0" applyFont="1" applyBorder="1"/>
    <xf numFmtId="164" fontId="14" fillId="0" borderId="0" xfId="1" applyFo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0" fillId="9" borderId="1" xfId="0" applyFill="1" applyBorder="1"/>
    <xf numFmtId="0" fontId="9" fillId="3" borderId="0" xfId="0" applyFont="1" applyFill="1" applyAlignment="1">
      <alignment horizontal="left"/>
    </xf>
    <xf numFmtId="164" fontId="8" fillId="0" borderId="0" xfId="1" applyFont="1" applyFill="1" applyAlignment="1">
      <alignment horizontal="center"/>
    </xf>
    <xf numFmtId="0" fontId="14" fillId="3" borderId="0" xfId="0" applyFont="1" applyFill="1" applyAlignment="1">
      <alignment horizontal="center"/>
    </xf>
    <xf numFmtId="164" fontId="20" fillId="0" borderId="0" xfId="1" applyFont="1" applyBorder="1" applyAlignment="1">
      <alignment horizontal="center"/>
    </xf>
    <xf numFmtId="0" fontId="9" fillId="0" borderId="0" xfId="0" applyFont="1" applyAlignment="1">
      <alignment horizontal="left"/>
    </xf>
    <xf numFmtId="164" fontId="0" fillId="0" borderId="0" xfId="1" applyFont="1" applyFill="1"/>
    <xf numFmtId="0" fontId="0" fillId="3" borderId="1" xfId="0" applyFill="1" applyBorder="1" applyAlignment="1">
      <alignment horizontal="center" vertical="center"/>
    </xf>
    <xf numFmtId="0" fontId="23" fillId="0" borderId="0" xfId="0" applyFont="1" applyAlignment="1">
      <alignment horizontal="center"/>
    </xf>
    <xf numFmtId="164" fontId="14" fillId="0" borderId="7" xfId="1" applyFont="1" applyBorder="1" applyAlignment="1">
      <alignment horizontal="center"/>
    </xf>
    <xf numFmtId="0" fontId="25" fillId="0" borderId="0" xfId="0" applyFont="1" applyAlignment="1">
      <alignment horizontal="center"/>
    </xf>
    <xf numFmtId="164" fontId="6" fillId="0" borderId="7" xfId="1" applyFont="1" applyBorder="1" applyAlignment="1">
      <alignment horizontal="center"/>
    </xf>
    <xf numFmtId="164" fontId="6" fillId="0" borderId="5" xfId="1" applyFont="1" applyBorder="1" applyAlignment="1">
      <alignment horizontal="center"/>
    </xf>
    <xf numFmtId="164" fontId="20" fillId="0" borderId="3" xfId="1" applyFont="1" applyFill="1" applyBorder="1" applyAlignment="1">
      <alignment horizontal="center"/>
    </xf>
    <xf numFmtId="164" fontId="0" fillId="0" borderId="0" xfId="1" applyFont="1"/>
    <xf numFmtId="164" fontId="0" fillId="3" borderId="39" xfId="1" applyFont="1" applyFill="1" applyBorder="1" applyAlignment="1">
      <alignment horizontal="center" vertical="center" wrapText="1"/>
    </xf>
    <xf numFmtId="164" fontId="0" fillId="3" borderId="1" xfId="1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8" fillId="0" borderId="7" xfId="0" applyFont="1" applyBorder="1" applyAlignment="1">
      <alignment horizontal="left"/>
    </xf>
    <xf numFmtId="0" fontId="15" fillId="0" borderId="7" xfId="0" applyFont="1" applyBorder="1" applyAlignment="1">
      <alignment horizontal="center"/>
    </xf>
    <xf numFmtId="0" fontId="20" fillId="0" borderId="7" xfId="0" applyFont="1" applyBorder="1" applyAlignment="1">
      <alignment horizontal="center"/>
    </xf>
    <xf numFmtId="164" fontId="14" fillId="0" borderId="7" xfId="1" applyFont="1" applyFill="1" applyBorder="1" applyAlignment="1">
      <alignment horizontal="center"/>
    </xf>
    <xf numFmtId="164" fontId="15" fillId="0" borderId="0" xfId="0" applyNumberFormat="1" applyFont="1"/>
    <xf numFmtId="0" fontId="13" fillId="0" borderId="1" xfId="2" applyFill="1" applyBorder="1"/>
    <xf numFmtId="0" fontId="0" fillId="0" borderId="37" xfId="0" applyBorder="1"/>
    <xf numFmtId="16" fontId="8" fillId="0" borderId="0" xfId="0" applyNumberFormat="1" applyFont="1"/>
    <xf numFmtId="0" fontId="8" fillId="0" borderId="32" xfId="0" applyFont="1" applyBorder="1" applyAlignment="1">
      <alignment horizontal="center"/>
    </xf>
    <xf numFmtId="0" fontId="13" fillId="0" borderId="37" xfId="2" applyFill="1" applyBorder="1"/>
    <xf numFmtId="14" fontId="8" fillId="0" borderId="0" xfId="0" applyNumberFormat="1" applyFont="1"/>
    <xf numFmtId="1" fontId="8" fillId="0" borderId="0" xfId="0" applyNumberFormat="1" applyFont="1"/>
    <xf numFmtId="16" fontId="0" fillId="8" borderId="0" xfId="1" applyNumberFormat="1" applyFont="1" applyFill="1"/>
    <xf numFmtId="164" fontId="8" fillId="0" borderId="0" xfId="1" applyFont="1"/>
    <xf numFmtId="164" fontId="8" fillId="0" borderId="0" xfId="1" applyFont="1" applyAlignment="1">
      <alignment horizontal="center" vertical="center"/>
    </xf>
    <xf numFmtId="164" fontId="15" fillId="0" borderId="0" xfId="1" applyFont="1"/>
    <xf numFmtId="164" fontId="14" fillId="8" borderId="1" xfId="1" applyFont="1" applyFill="1" applyBorder="1" applyAlignment="1">
      <alignment horizontal="center" vertical="center"/>
    </xf>
    <xf numFmtId="0" fontId="20" fillId="0" borderId="0" xfId="0" applyFont="1" applyAlignment="1">
      <alignment horizontal="left"/>
    </xf>
    <xf numFmtId="164" fontId="14" fillId="0" borderId="0" xfId="1" applyFont="1" applyFill="1" applyBorder="1" applyAlignment="1">
      <alignment horizontal="left"/>
    </xf>
    <xf numFmtId="16" fontId="8" fillId="0" borderId="2" xfId="0" applyNumberFormat="1" applyFont="1" applyBorder="1" applyAlignment="1">
      <alignment horizontal="center"/>
    </xf>
    <xf numFmtId="0" fontId="6" fillId="0" borderId="0" xfId="0" applyFont="1" applyAlignment="1">
      <alignment horizontal="left"/>
    </xf>
    <xf numFmtId="164" fontId="8" fillId="0" borderId="3" xfId="0" applyNumberFormat="1" applyFont="1" applyBorder="1"/>
    <xf numFmtId="0" fontId="22" fillId="0" borderId="0" xfId="0" applyFont="1" applyAlignment="1">
      <alignment horizontal="left"/>
    </xf>
    <xf numFmtId="0" fontId="9" fillId="3" borderId="0" xfId="0" applyFont="1" applyFill="1"/>
    <xf numFmtId="164" fontId="8" fillId="0" borderId="0" xfId="1" applyFont="1" applyAlignment="1">
      <alignment horizontal="center"/>
    </xf>
    <xf numFmtId="0" fontId="28" fillId="0" borderId="0" xfId="0" applyFont="1"/>
    <xf numFmtId="0" fontId="29" fillId="0" borderId="0" xfId="0" applyFont="1"/>
    <xf numFmtId="0" fontId="14" fillId="11" borderId="0" xfId="0" applyFont="1" applyFill="1" applyAlignment="1">
      <alignment horizontal="center"/>
    </xf>
    <xf numFmtId="0" fontId="14" fillId="0" borderId="0" xfId="0" applyFont="1" applyAlignment="1">
      <alignment horizontal="left"/>
    </xf>
    <xf numFmtId="0" fontId="30" fillId="0" borderId="0" xfId="0" applyFont="1" applyAlignment="1">
      <alignment horizontal="left"/>
    </xf>
    <xf numFmtId="0" fontId="20" fillId="0" borderId="0" xfId="0" applyFont="1"/>
    <xf numFmtId="0" fontId="6" fillId="2" borderId="30" xfId="0" applyFont="1" applyFill="1" applyBorder="1" applyAlignment="1">
      <alignment horizontal="center" vertical="center" wrapText="1"/>
    </xf>
    <xf numFmtId="0" fontId="9" fillId="6" borderId="0" xfId="0" applyFont="1" applyFill="1" applyAlignment="1">
      <alignment horizontal="left"/>
    </xf>
    <xf numFmtId="0" fontId="9" fillId="0" borderId="4" xfId="0" applyFont="1" applyBorder="1"/>
    <xf numFmtId="0" fontId="8" fillId="11" borderId="7" xfId="0" applyFont="1" applyFill="1" applyBorder="1" applyAlignment="1">
      <alignment horizontal="center"/>
    </xf>
    <xf numFmtId="0" fontId="31" fillId="0" borderId="0" xfId="0" applyFont="1"/>
    <xf numFmtId="2" fontId="31" fillId="0" borderId="0" xfId="0" applyNumberFormat="1" applyFont="1"/>
    <xf numFmtId="0" fontId="31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164" fontId="14" fillId="0" borderId="0" xfId="1" applyFont="1" applyAlignment="1">
      <alignment horizontal="center"/>
    </xf>
    <xf numFmtId="0" fontId="32" fillId="0" borderId="0" xfId="0" applyFont="1"/>
    <xf numFmtId="164" fontId="14" fillId="0" borderId="0" xfId="1" applyFont="1" applyAlignment="1"/>
    <xf numFmtId="0" fontId="6" fillId="0" borderId="0" xfId="0" applyFont="1" applyAlignment="1">
      <alignment horizontal="left" indent="1"/>
    </xf>
    <xf numFmtId="0" fontId="20" fillId="0" borderId="0" xfId="0" applyFont="1" applyAlignment="1">
      <alignment horizontal="left" indent="1"/>
    </xf>
    <xf numFmtId="0" fontId="22" fillId="0" borderId="0" xfId="0" applyFont="1" applyAlignment="1">
      <alignment horizontal="left" indent="1"/>
    </xf>
    <xf numFmtId="0" fontId="33" fillId="0" borderId="0" xfId="0" applyFont="1" applyAlignment="1">
      <alignment horizontal="left"/>
    </xf>
    <xf numFmtId="0" fontId="8" fillId="0" borderId="0" xfId="0" applyFont="1" applyAlignment="1">
      <alignment horizontal="left" indent="1"/>
    </xf>
    <xf numFmtId="16" fontId="8" fillId="0" borderId="2" xfId="0" applyNumberFormat="1" applyFont="1" applyBorder="1" applyAlignment="1">
      <alignment wrapText="1"/>
    </xf>
    <xf numFmtId="164" fontId="14" fillId="0" borderId="0" xfId="1" applyFont="1" applyBorder="1" applyAlignment="1"/>
    <xf numFmtId="165" fontId="0" fillId="3" borderId="1" xfId="1" applyNumberFormat="1" applyFont="1" applyFill="1" applyBorder="1" applyAlignment="1">
      <alignment horizontal="center" vertical="center" wrapText="1"/>
    </xf>
    <xf numFmtId="164" fontId="0" fillId="3" borderId="1" xfId="1" applyFont="1" applyFill="1" applyBorder="1" applyAlignment="1">
      <alignment horizontal="center" vertical="center"/>
    </xf>
    <xf numFmtId="0" fontId="8" fillId="0" borderId="32" xfId="0" applyFont="1" applyBorder="1" applyAlignment="1">
      <alignment vertical="top" wrapText="1"/>
    </xf>
    <xf numFmtId="0" fontId="8" fillId="0" borderId="31" xfId="0" applyFont="1" applyBorder="1" applyAlignment="1">
      <alignment vertical="top" wrapText="1"/>
    </xf>
    <xf numFmtId="0" fontId="8" fillId="0" borderId="33" xfId="0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13" fillId="0" borderId="0" xfId="2" applyFill="1"/>
    <xf numFmtId="0" fontId="8" fillId="0" borderId="32" xfId="0" applyFont="1" applyBorder="1" applyAlignment="1">
      <alignment vertical="top"/>
    </xf>
    <xf numFmtId="0" fontId="8" fillId="0" borderId="2" xfId="0" applyFont="1" applyBorder="1" applyAlignment="1">
      <alignment vertical="top"/>
    </xf>
    <xf numFmtId="0" fontId="8" fillId="0" borderId="31" xfId="0" applyFont="1" applyBorder="1" applyAlignment="1">
      <alignment wrapText="1"/>
    </xf>
    <xf numFmtId="0" fontId="0" fillId="0" borderId="31" xfId="0" applyBorder="1" applyAlignment="1">
      <alignment wrapText="1"/>
    </xf>
    <xf numFmtId="164" fontId="8" fillId="0" borderId="0" xfId="1" applyFont="1" applyBorder="1" applyAlignment="1">
      <alignment vertical="center"/>
    </xf>
    <xf numFmtId="164" fontId="14" fillId="0" borderId="3" xfId="1" applyFont="1" applyBorder="1" applyAlignment="1">
      <alignment vertical="center"/>
    </xf>
    <xf numFmtId="0" fontId="5" fillId="0" borderId="0" xfId="0" applyFont="1" applyAlignment="1">
      <alignment horizontal="center"/>
    </xf>
    <xf numFmtId="0" fontId="22" fillId="0" borderId="0" xfId="0" applyFont="1"/>
    <xf numFmtId="164" fontId="15" fillId="0" borderId="0" xfId="1" applyFont="1" applyFill="1" applyBorder="1" applyAlignment="1">
      <alignment horizontal="center"/>
    </xf>
    <xf numFmtId="0" fontId="8" fillId="6" borderId="0" xfId="0" applyFont="1" applyFill="1"/>
    <xf numFmtId="164" fontId="14" fillId="0" borderId="0" xfId="1" applyFont="1" applyBorder="1"/>
    <xf numFmtId="0" fontId="3" fillId="0" borderId="35" xfId="0" applyFont="1" applyBorder="1"/>
    <xf numFmtId="164" fontId="0" fillId="12" borderId="25" xfId="1" applyFont="1" applyFill="1" applyBorder="1" applyAlignment="1">
      <alignment horizontal="center" vertical="center" wrapText="1"/>
    </xf>
    <xf numFmtId="0" fontId="0" fillId="0" borderId="3" xfId="0" applyBorder="1"/>
    <xf numFmtId="165" fontId="0" fillId="0" borderId="0" xfId="1" applyNumberFormat="1" applyFont="1"/>
    <xf numFmtId="165" fontId="0" fillId="0" borderId="1" xfId="1" applyNumberFormat="1" applyFont="1" applyBorder="1"/>
    <xf numFmtId="0" fontId="3" fillId="3" borderId="30" xfId="0" applyFont="1" applyFill="1" applyBorder="1" applyAlignment="1">
      <alignment horizontal="center" vertical="center" wrapText="1"/>
    </xf>
    <xf numFmtId="165" fontId="0" fillId="3" borderId="29" xfId="1" applyNumberFormat="1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6" fillId="0" borderId="2" xfId="0" applyFont="1" applyBorder="1"/>
    <xf numFmtId="0" fontId="6" fillId="0" borderId="2" xfId="0" applyFont="1" applyBorder="1" applyAlignment="1">
      <alignment horizontal="left"/>
    </xf>
    <xf numFmtId="0" fontId="14" fillId="0" borderId="0" xfId="0" applyFont="1" applyAlignment="1">
      <alignment horizontal="left" indent="1"/>
    </xf>
    <xf numFmtId="0" fontId="8" fillId="0" borderId="2" xfId="0" applyFont="1" applyBorder="1" applyAlignment="1">
      <alignment horizontal="left"/>
    </xf>
    <xf numFmtId="0" fontId="8" fillId="0" borderId="0" xfId="0" applyFont="1" applyAlignment="1">
      <alignment horizontal="left" wrapText="1" indent="1"/>
    </xf>
    <xf numFmtId="0" fontId="24" fillId="0" borderId="0" xfId="0" applyFont="1" applyAlignment="1">
      <alignment horizontal="left"/>
    </xf>
    <xf numFmtId="0" fontId="8" fillId="0" borderId="50" xfId="0" applyFont="1" applyBorder="1"/>
    <xf numFmtId="0" fontId="8" fillId="0" borderId="51" xfId="0" applyFont="1" applyBorder="1"/>
    <xf numFmtId="164" fontId="3" fillId="3" borderId="39" xfId="1" applyFont="1" applyFill="1" applyBorder="1" applyAlignment="1">
      <alignment horizontal="center" vertical="center" wrapText="1"/>
    </xf>
    <xf numFmtId="165" fontId="3" fillId="3" borderId="39" xfId="1" applyNumberFormat="1" applyFont="1" applyFill="1" applyBorder="1" applyAlignment="1">
      <alignment horizontal="center" vertical="center" wrapText="1"/>
    </xf>
    <xf numFmtId="165" fontId="0" fillId="3" borderId="39" xfId="1" applyNumberFormat="1" applyFont="1" applyFill="1" applyBorder="1" applyAlignment="1">
      <alignment horizontal="center" vertical="center"/>
    </xf>
    <xf numFmtId="165" fontId="0" fillId="3" borderId="39" xfId="1" applyNumberFormat="1" applyFont="1" applyFill="1" applyBorder="1" applyAlignment="1">
      <alignment horizontal="center" vertical="center" wrapText="1"/>
    </xf>
    <xf numFmtId="165" fontId="0" fillId="3" borderId="39" xfId="1" applyNumberFormat="1" applyFont="1" applyFill="1" applyBorder="1" applyAlignment="1">
      <alignment wrapText="1"/>
    </xf>
    <xf numFmtId="164" fontId="3" fillId="0" borderId="0" xfId="1" applyFont="1" applyFill="1"/>
    <xf numFmtId="164" fontId="3" fillId="3" borderId="40" xfId="1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 wrapText="1" indent="1"/>
    </xf>
    <xf numFmtId="16" fontId="22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left" indent="1"/>
    </xf>
    <xf numFmtId="164" fontId="8" fillId="3" borderId="11" xfId="0" applyNumberFormat="1" applyFont="1" applyFill="1" applyBorder="1"/>
    <xf numFmtId="9" fontId="40" fillId="0" borderId="13" xfId="0" applyNumberFormat="1" applyFont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41" fillId="0" borderId="0" xfId="0" applyFont="1" applyAlignment="1">
      <alignment horizontal="left"/>
    </xf>
    <xf numFmtId="0" fontId="14" fillId="0" borderId="55" xfId="0" applyFont="1" applyBorder="1" applyAlignment="1">
      <alignment horizontal="center"/>
    </xf>
    <xf numFmtId="165" fontId="3" fillId="0" borderId="0" xfId="1" applyNumberFormat="1" applyFont="1" applyFill="1"/>
    <xf numFmtId="0" fontId="26" fillId="3" borderId="38" xfId="0" applyFont="1" applyFill="1" applyBorder="1" applyAlignment="1">
      <alignment horizontal="center" vertical="center" wrapText="1"/>
    </xf>
    <xf numFmtId="0" fontId="26" fillId="3" borderId="39" xfId="0" applyFont="1" applyFill="1" applyBorder="1" applyAlignment="1">
      <alignment horizontal="center" vertical="center"/>
    </xf>
    <xf numFmtId="165" fontId="26" fillId="3" borderId="39" xfId="1" applyNumberFormat="1" applyFont="1" applyFill="1" applyBorder="1" applyAlignment="1">
      <alignment horizontal="center" vertical="center"/>
    </xf>
    <xf numFmtId="0" fontId="26" fillId="3" borderId="39" xfId="0" applyFont="1" applyFill="1" applyBorder="1" applyAlignment="1">
      <alignment vertical="center" wrapText="1"/>
    </xf>
    <xf numFmtId="0" fontId="12" fillId="0" borderId="1" xfId="0" applyFont="1" applyBorder="1"/>
    <xf numFmtId="0" fontId="26" fillId="3" borderId="39" xfId="0" applyFont="1" applyFill="1" applyBorder="1" applyAlignment="1">
      <alignment vertical="center"/>
    </xf>
    <xf numFmtId="0" fontId="12" fillId="0" borderId="36" xfId="0" applyFont="1" applyBorder="1"/>
    <xf numFmtId="20" fontId="12" fillId="0" borderId="1" xfId="0" applyNumberFormat="1" applyFont="1" applyBorder="1"/>
    <xf numFmtId="0" fontId="12" fillId="0" borderId="35" xfId="0" applyFont="1" applyBorder="1"/>
    <xf numFmtId="0" fontId="3" fillId="0" borderId="0" xfId="0" applyFont="1"/>
    <xf numFmtId="0" fontId="3" fillId="0" borderId="0" xfId="0" applyFont="1" applyAlignment="1">
      <alignment vertical="center"/>
    </xf>
    <xf numFmtId="164" fontId="3" fillId="6" borderId="0" xfId="1" applyFont="1" applyFill="1"/>
    <xf numFmtId="0" fontId="12" fillId="0" borderId="52" xfId="0" applyFont="1" applyBorder="1" applyAlignment="1">
      <alignment horizontal="center"/>
    </xf>
    <xf numFmtId="164" fontId="42" fillId="2" borderId="36" xfId="1" applyFont="1" applyFill="1" applyBorder="1" applyAlignment="1">
      <alignment horizontal="center"/>
    </xf>
    <xf numFmtId="165" fontId="5" fillId="0" borderId="36" xfId="1" applyNumberFormat="1" applyFont="1" applyFill="1" applyBorder="1"/>
    <xf numFmtId="165" fontId="12" fillId="0" borderId="36" xfId="1" applyNumberFormat="1" applyFont="1" applyFill="1" applyBorder="1"/>
    <xf numFmtId="165" fontId="12" fillId="0" borderId="36" xfId="1" applyNumberFormat="1" applyFont="1" applyFill="1" applyBorder="1" applyAlignment="1">
      <alignment horizontal="center"/>
    </xf>
    <xf numFmtId="0" fontId="5" fillId="0" borderId="36" xfId="0" applyFont="1" applyBorder="1"/>
    <xf numFmtId="164" fontId="5" fillId="0" borderId="36" xfId="1" applyFont="1" applyBorder="1"/>
    <xf numFmtId="164" fontId="12" fillId="0" borderId="36" xfId="1" applyFont="1" applyFill="1" applyBorder="1"/>
    <xf numFmtId="165" fontId="5" fillId="0" borderId="1" xfId="1" applyNumberFormat="1" applyFont="1" applyFill="1" applyBorder="1"/>
    <xf numFmtId="0" fontId="5" fillId="0" borderId="1" xfId="0" applyFont="1" applyBorder="1"/>
    <xf numFmtId="164" fontId="5" fillId="0" borderId="1" xfId="1" applyFont="1" applyBorder="1"/>
    <xf numFmtId="164" fontId="5" fillId="0" borderId="1" xfId="1" applyFont="1" applyFill="1" applyBorder="1"/>
    <xf numFmtId="0" fontId="12" fillId="0" borderId="28" xfId="0" applyFont="1" applyBorder="1" applyAlignment="1">
      <alignment horizontal="center"/>
    </xf>
    <xf numFmtId="164" fontId="42" fillId="2" borderId="1" xfId="1" applyFont="1" applyFill="1" applyBorder="1" applyAlignment="1">
      <alignment horizontal="center"/>
    </xf>
    <xf numFmtId="165" fontId="12" fillId="0" borderId="1" xfId="1" applyNumberFormat="1" applyFont="1" applyFill="1" applyBorder="1"/>
    <xf numFmtId="165" fontId="5" fillId="0" borderId="1" xfId="1" applyNumberFormat="1" applyFont="1" applyFill="1" applyBorder="1" applyAlignment="1">
      <alignment horizontal="center"/>
    </xf>
    <xf numFmtId="165" fontId="12" fillId="0" borderId="1" xfId="1" applyNumberFormat="1" applyFont="1" applyFill="1" applyBorder="1" applyAlignment="1">
      <alignment horizontal="center"/>
    </xf>
    <xf numFmtId="165" fontId="5" fillId="0" borderId="1" xfId="1" applyNumberFormat="1" applyFont="1" applyBorder="1"/>
    <xf numFmtId="164" fontId="12" fillId="0" borderId="1" xfId="1" applyFont="1" applyFill="1" applyBorder="1"/>
    <xf numFmtId="0" fontId="12" fillId="0" borderId="1" xfId="0" applyFont="1" applyBorder="1" applyAlignment="1">
      <alignment vertical="center"/>
    </xf>
    <xf numFmtId="164" fontId="12" fillId="2" borderId="1" xfId="1" applyFont="1" applyFill="1" applyBorder="1" applyAlignment="1">
      <alignment horizontal="center"/>
    </xf>
    <xf numFmtId="0" fontId="43" fillId="0" borderId="1" xfId="0" applyFont="1" applyBorder="1"/>
    <xf numFmtId="165" fontId="43" fillId="0" borderId="1" xfId="1" applyNumberFormat="1" applyFont="1" applyFill="1" applyBorder="1"/>
    <xf numFmtId="0" fontId="5" fillId="0" borderId="28" xfId="0" applyFont="1" applyBorder="1" applyAlignment="1">
      <alignment horizontal="center"/>
    </xf>
    <xf numFmtId="165" fontId="12" fillId="0" borderId="37" xfId="1" applyNumberFormat="1" applyFont="1" applyFill="1" applyBorder="1"/>
    <xf numFmtId="165" fontId="12" fillId="0" borderId="35" xfId="1" applyNumberFormat="1" applyFont="1" applyFill="1" applyBorder="1"/>
    <xf numFmtId="165" fontId="5" fillId="0" borderId="35" xfId="1" applyNumberFormat="1" applyFont="1" applyFill="1" applyBorder="1"/>
    <xf numFmtId="0" fontId="43" fillId="0" borderId="1" xfId="0" applyFont="1" applyBorder="1" applyAlignment="1">
      <alignment horizontal="center"/>
    </xf>
    <xf numFmtId="0" fontId="12" fillId="0" borderId="1" xfId="0" applyFont="1" applyBorder="1" applyAlignment="1">
      <alignment horizontal="left"/>
    </xf>
    <xf numFmtId="0" fontId="5" fillId="0" borderId="28" xfId="0" applyFont="1" applyBorder="1"/>
    <xf numFmtId="164" fontId="43" fillId="12" borderId="1" xfId="1" applyFont="1" applyFill="1" applyBorder="1"/>
    <xf numFmtId="0" fontId="5" fillId="0" borderId="52" xfId="0" applyFont="1" applyBorder="1" applyAlignment="1">
      <alignment horizontal="center"/>
    </xf>
    <xf numFmtId="164" fontId="12" fillId="2" borderId="1" xfId="1" applyFont="1" applyFill="1" applyBorder="1"/>
    <xf numFmtId="0" fontId="12" fillId="2" borderId="1" xfId="0" applyFont="1" applyFill="1" applyBorder="1"/>
    <xf numFmtId="164" fontId="20" fillId="2" borderId="1" xfId="1" applyFont="1" applyFill="1" applyBorder="1"/>
    <xf numFmtId="165" fontId="43" fillId="0" borderId="1" xfId="1" applyNumberFormat="1" applyFont="1" applyFill="1" applyBorder="1" applyAlignment="1">
      <alignment horizontal="center"/>
    </xf>
    <xf numFmtId="0" fontId="12" fillId="0" borderId="53" xfId="0" applyFont="1" applyBorder="1" applyAlignment="1">
      <alignment horizontal="center"/>
    </xf>
    <xf numFmtId="164" fontId="42" fillId="12" borderId="1" xfId="1" applyFont="1" applyFill="1" applyBorder="1"/>
    <xf numFmtId="0" fontId="5" fillId="0" borderId="54" xfId="0" applyFont="1" applyBorder="1" applyAlignment="1">
      <alignment horizontal="center"/>
    </xf>
    <xf numFmtId="0" fontId="5" fillId="0" borderId="53" xfId="0" applyFont="1" applyBorder="1" applyAlignment="1">
      <alignment horizontal="center"/>
    </xf>
    <xf numFmtId="165" fontId="5" fillId="0" borderId="1" xfId="0" applyNumberFormat="1" applyFont="1" applyBorder="1"/>
    <xf numFmtId="165" fontId="5" fillId="0" borderId="37" xfId="1" applyNumberFormat="1" applyFont="1" applyFill="1" applyBorder="1"/>
    <xf numFmtId="0" fontId="20" fillId="0" borderId="1" xfId="0" applyFont="1" applyBorder="1"/>
    <xf numFmtId="0" fontId="12" fillId="0" borderId="1" xfId="0" applyFont="1" applyBorder="1" applyAlignment="1">
      <alignment horizontal="center"/>
    </xf>
    <xf numFmtId="164" fontId="12" fillId="0" borderId="1" xfId="1" applyFont="1" applyBorder="1"/>
    <xf numFmtId="164" fontId="12" fillId="0" borderId="0" xfId="1" applyFont="1" applyFill="1" applyBorder="1"/>
    <xf numFmtId="165" fontId="12" fillId="2" borderId="1" xfId="1" applyNumberFormat="1" applyFont="1" applyFill="1" applyBorder="1"/>
    <xf numFmtId="165" fontId="12" fillId="13" borderId="1" xfId="1" applyNumberFormat="1" applyFont="1" applyFill="1" applyBorder="1"/>
    <xf numFmtId="164" fontId="5" fillId="2" borderId="1" xfId="1" applyFont="1" applyFill="1" applyBorder="1"/>
    <xf numFmtId="164" fontId="5" fillId="2" borderId="0" xfId="1" applyFont="1" applyFill="1" applyBorder="1"/>
    <xf numFmtId="164" fontId="5" fillId="0" borderId="0" xfId="1" applyFont="1" applyBorder="1"/>
    <xf numFmtId="0" fontId="12" fillId="0" borderId="36" xfId="0" applyFont="1" applyBorder="1" applyAlignment="1">
      <alignment vertical="center"/>
    </xf>
    <xf numFmtId="165" fontId="5" fillId="0" borderId="29" xfId="1" applyNumberFormat="1" applyFont="1" applyFill="1" applyBorder="1"/>
    <xf numFmtId="165" fontId="5" fillId="0" borderId="36" xfId="1" applyNumberFormat="1" applyFont="1" applyBorder="1"/>
    <xf numFmtId="0" fontId="12" fillId="0" borderId="35" xfId="0" applyFont="1" applyBorder="1" applyAlignment="1">
      <alignment vertical="center"/>
    </xf>
    <xf numFmtId="165" fontId="5" fillId="0" borderId="35" xfId="1" applyNumberFormat="1" applyFont="1" applyBorder="1"/>
    <xf numFmtId="0" fontId="12" fillId="0" borderId="29" xfId="0" applyFont="1" applyBorder="1"/>
    <xf numFmtId="165" fontId="5" fillId="0" borderId="28" xfId="1" applyNumberFormat="1" applyFont="1" applyFill="1" applyBorder="1"/>
    <xf numFmtId="164" fontId="5" fillId="0" borderId="29" xfId="1" applyFont="1" applyBorder="1"/>
    <xf numFmtId="0" fontId="5" fillId="0" borderId="1" xfId="0" applyFont="1" applyBorder="1" applyAlignment="1">
      <alignment horizontal="center"/>
    </xf>
    <xf numFmtId="0" fontId="5" fillId="0" borderId="36" xfId="0" applyFont="1" applyBorder="1" applyAlignment="1">
      <alignment horizontal="center"/>
    </xf>
    <xf numFmtId="164" fontId="12" fillId="2" borderId="36" xfId="1" applyFont="1" applyFill="1" applyBorder="1" applyAlignment="1">
      <alignment horizontal="center"/>
    </xf>
    <xf numFmtId="164" fontId="5" fillId="0" borderId="36" xfId="1" applyFont="1" applyFill="1" applyBorder="1"/>
    <xf numFmtId="165" fontId="5" fillId="0" borderId="36" xfId="1" applyNumberFormat="1" applyFont="1" applyFill="1" applyBorder="1" applyAlignment="1">
      <alignment horizontal="center"/>
    </xf>
    <xf numFmtId="165" fontId="12" fillId="0" borderId="29" xfId="1" applyNumberFormat="1" applyFont="1" applyFill="1" applyBorder="1"/>
    <xf numFmtId="164" fontId="5" fillId="10" borderId="0" xfId="1" applyFont="1" applyFill="1"/>
    <xf numFmtId="164" fontId="5" fillId="6" borderId="0" xfId="1" applyFont="1" applyFill="1"/>
    <xf numFmtId="164" fontId="12" fillId="6" borderId="1" xfId="1" applyFont="1" applyFill="1" applyBorder="1" applyAlignment="1">
      <alignment horizontal="center"/>
    </xf>
    <xf numFmtId="9" fontId="8" fillId="0" borderId="0" xfId="0" applyNumberFormat="1" applyFont="1"/>
    <xf numFmtId="0" fontId="28" fillId="6" borderId="0" xfId="0" applyFont="1" applyFill="1"/>
    <xf numFmtId="164" fontId="5" fillId="0" borderId="0" xfId="1" applyFont="1"/>
    <xf numFmtId="164" fontId="12" fillId="9" borderId="1" xfId="1" applyFont="1" applyFill="1" applyBorder="1" applyAlignment="1">
      <alignment horizontal="center"/>
    </xf>
    <xf numFmtId="9" fontId="28" fillId="9" borderId="0" xfId="0" applyNumberFormat="1" applyFont="1" applyFill="1"/>
    <xf numFmtId="164" fontId="12" fillId="14" borderId="1" xfId="1" applyFont="1" applyFill="1" applyBorder="1" applyAlignment="1">
      <alignment horizontal="center"/>
    </xf>
    <xf numFmtId="44" fontId="12" fillId="0" borderId="1" xfId="1" applyNumberFormat="1" applyFont="1" applyFill="1" applyBorder="1"/>
    <xf numFmtId="0" fontId="8" fillId="0" borderId="0" xfId="0" applyFont="1" applyAlignment="1">
      <alignment wrapText="1"/>
    </xf>
    <xf numFmtId="0" fontId="0" fillId="0" borderId="1" xfId="0" applyBorder="1" applyAlignment="1">
      <alignment horizontal="center" vertical="center" wrapText="1"/>
    </xf>
    <xf numFmtId="164" fontId="44" fillId="2" borderId="1" xfId="1" applyFont="1" applyFill="1" applyBorder="1" applyAlignment="1">
      <alignment horizontal="center"/>
    </xf>
    <xf numFmtId="0" fontId="14" fillId="0" borderId="0" xfId="0" applyFont="1" applyAlignment="1">
      <alignment horizontal="left" vertical="center" indent="1"/>
    </xf>
    <xf numFmtId="0" fontId="14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164" fontId="8" fillId="0" borderId="0" xfId="1" applyFont="1" applyBorder="1" applyAlignment="1">
      <alignment horizontal="center" vertical="center"/>
    </xf>
    <xf numFmtId="164" fontId="14" fillId="0" borderId="3" xfId="1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20" fillId="0" borderId="2" xfId="0" applyFont="1" applyBorder="1" applyAlignment="1">
      <alignment horizontal="left" indent="1"/>
    </xf>
    <xf numFmtId="164" fontId="12" fillId="8" borderId="1" xfId="1" applyFont="1" applyFill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8" fillId="0" borderId="0" xfId="0" applyFont="1" applyAlignment="1">
      <alignment horizontal="right"/>
    </xf>
    <xf numFmtId="0" fontId="8" fillId="0" borderId="7" xfId="0" applyFont="1" applyBorder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right" vertical="top" wrapText="1"/>
    </xf>
    <xf numFmtId="0" fontId="9" fillId="0" borderId="0" xfId="0" applyFont="1" applyAlignment="1">
      <alignment horizontal="right" vertical="top"/>
    </xf>
    <xf numFmtId="0" fontId="8" fillId="0" borderId="0" xfId="0" applyFont="1" applyAlignment="1">
      <alignment horizontal="right" vertical="top" wrapText="1"/>
    </xf>
    <xf numFmtId="0" fontId="6" fillId="2" borderId="25" xfId="0" applyFont="1" applyFill="1" applyBorder="1" applyAlignment="1">
      <alignment horizontal="right" vertical="center"/>
    </xf>
    <xf numFmtId="0" fontId="6" fillId="2" borderId="25" xfId="0" applyFont="1" applyFill="1" applyBorder="1" applyAlignment="1">
      <alignment horizontal="right" vertical="center" wrapText="1"/>
    </xf>
    <xf numFmtId="0" fontId="6" fillId="2" borderId="27" xfId="0" applyFont="1" applyFill="1" applyBorder="1" applyAlignment="1">
      <alignment horizontal="right" vertical="center"/>
    </xf>
    <xf numFmtId="0" fontId="6" fillId="2" borderId="26" xfId="0" applyFont="1" applyFill="1" applyBorder="1" applyAlignment="1">
      <alignment horizontal="right" vertical="center" wrapText="1"/>
    </xf>
    <xf numFmtId="0" fontId="8" fillId="0" borderId="2" xfId="0" applyFont="1" applyBorder="1" applyAlignment="1">
      <alignment horizontal="right"/>
    </xf>
    <xf numFmtId="0" fontId="8" fillId="0" borderId="0" xfId="0" applyFont="1" applyAlignment="1">
      <alignment horizontal="right" indent="1"/>
    </xf>
    <xf numFmtId="164" fontId="8" fillId="0" borderId="0" xfId="1" applyFont="1" applyBorder="1" applyAlignment="1">
      <alignment horizontal="right"/>
    </xf>
    <xf numFmtId="164" fontId="14" fillId="0" borderId="3" xfId="1" applyFont="1" applyBorder="1" applyAlignment="1">
      <alignment horizontal="right"/>
    </xf>
    <xf numFmtId="0" fontId="8" fillId="0" borderId="4" xfId="0" applyFont="1" applyBorder="1" applyAlignment="1">
      <alignment horizontal="right"/>
    </xf>
    <xf numFmtId="164" fontId="8" fillId="0" borderId="7" xfId="1" applyFont="1" applyBorder="1" applyAlignment="1">
      <alignment horizontal="right"/>
    </xf>
    <xf numFmtId="164" fontId="8" fillId="0" borderId="5" xfId="1" applyFont="1" applyBorder="1" applyAlignment="1">
      <alignment horizontal="right"/>
    </xf>
    <xf numFmtId="0" fontId="8" fillId="0" borderId="3" xfId="0" applyFont="1" applyBorder="1" applyAlignment="1">
      <alignment horizontal="right"/>
    </xf>
    <xf numFmtId="0" fontId="5" fillId="0" borderId="0" xfId="0" applyFont="1" applyAlignment="1">
      <alignment horizontal="right"/>
    </xf>
    <xf numFmtId="164" fontId="8" fillId="0" borderId="8" xfId="0" applyNumberFormat="1" applyFont="1" applyBorder="1" applyAlignment="1">
      <alignment horizontal="right"/>
    </xf>
    <xf numFmtId="9" fontId="8" fillId="0" borderId="13" xfId="0" applyNumberFormat="1" applyFont="1" applyBorder="1" applyAlignment="1">
      <alignment horizontal="right"/>
    </xf>
    <xf numFmtId="164" fontId="8" fillId="0" borderId="11" xfId="0" applyNumberFormat="1" applyFont="1" applyBorder="1" applyAlignment="1">
      <alignment horizontal="right"/>
    </xf>
    <xf numFmtId="164" fontId="8" fillId="0" borderId="11" xfId="1" applyFont="1" applyBorder="1" applyAlignment="1">
      <alignment horizontal="right"/>
    </xf>
    <xf numFmtId="164" fontId="8" fillId="0" borderId="6" xfId="0" applyNumberFormat="1" applyFont="1" applyBorder="1" applyAlignment="1">
      <alignment horizontal="right"/>
    </xf>
    <xf numFmtId="0" fontId="8" fillId="0" borderId="15" xfId="0" applyFont="1" applyBorder="1" applyAlignment="1">
      <alignment horizontal="right"/>
    </xf>
    <xf numFmtId="0" fontId="8" fillId="0" borderId="14" xfId="0" applyFont="1" applyBorder="1" applyAlignment="1">
      <alignment horizontal="right"/>
    </xf>
    <xf numFmtId="0" fontId="8" fillId="0" borderId="16" xfId="0" applyFont="1" applyBorder="1" applyAlignment="1">
      <alignment horizontal="right"/>
    </xf>
    <xf numFmtId="0" fontId="8" fillId="0" borderId="5" xfId="0" applyFont="1" applyBorder="1" applyAlignment="1">
      <alignment horizontal="right"/>
    </xf>
    <xf numFmtId="9" fontId="8" fillId="0" borderId="13" xfId="0" applyNumberFormat="1" applyFont="1" applyBorder="1" applyAlignment="1">
      <alignment horizontal="left"/>
    </xf>
    <xf numFmtId="0" fontId="5" fillId="0" borderId="29" xfId="0" applyFont="1" applyBorder="1"/>
    <xf numFmtId="0" fontId="20" fillId="0" borderId="2" xfId="0" applyFont="1" applyBorder="1" applyAlignment="1">
      <alignment horizontal="center"/>
    </xf>
    <xf numFmtId="0" fontId="33" fillId="0" borderId="0" xfId="0" applyFont="1" applyAlignment="1">
      <alignment horizontal="left" indent="1"/>
    </xf>
    <xf numFmtId="164" fontId="3" fillId="10" borderId="1" xfId="1" applyFont="1" applyFill="1" applyBorder="1" applyAlignment="1">
      <alignment horizontal="center"/>
    </xf>
    <xf numFmtId="164" fontId="14" fillId="0" borderId="0" xfId="1" applyFont="1" applyFill="1"/>
    <xf numFmtId="0" fontId="24" fillId="0" borderId="0" xfId="0" applyFont="1" applyAlignment="1">
      <alignment horizontal="left" indent="1"/>
    </xf>
    <xf numFmtId="165" fontId="5" fillId="6" borderId="1" xfId="1" applyNumberFormat="1" applyFont="1" applyFill="1" applyBorder="1"/>
    <xf numFmtId="165" fontId="43" fillId="6" borderId="1" xfId="1" applyNumberFormat="1" applyFont="1" applyFill="1" applyBorder="1"/>
    <xf numFmtId="165" fontId="5" fillId="6" borderId="36" xfId="1" applyNumberFormat="1" applyFont="1" applyFill="1" applyBorder="1"/>
    <xf numFmtId="0" fontId="8" fillId="3" borderId="0" xfId="0" applyFont="1" applyFill="1"/>
    <xf numFmtId="0" fontId="8" fillId="0" borderId="0" xfId="0" applyFont="1" applyAlignment="1">
      <alignment horizontal="left" indent="3"/>
    </xf>
    <xf numFmtId="164" fontId="43" fillId="0" borderId="1" xfId="1" applyFont="1" applyFill="1" applyBorder="1"/>
    <xf numFmtId="165" fontId="0" fillId="6" borderId="39" xfId="1" applyNumberFormat="1" applyFont="1" applyFill="1" applyBorder="1" applyAlignment="1">
      <alignment horizontal="center" vertical="center" wrapText="1"/>
    </xf>
    <xf numFmtId="165" fontId="0" fillId="6" borderId="1" xfId="1" applyNumberFormat="1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6" borderId="25" xfId="0" applyFill="1" applyBorder="1" applyAlignment="1">
      <alignment horizontal="center" vertical="center" wrapText="1"/>
    </xf>
    <xf numFmtId="0" fontId="0" fillId="6" borderId="29" xfId="0" applyFill="1" applyBorder="1" applyAlignment="1">
      <alignment horizontal="center" vertical="center" wrapText="1"/>
    </xf>
    <xf numFmtId="164" fontId="0" fillId="6" borderId="1" xfId="1" applyFont="1" applyFill="1" applyBorder="1" applyAlignment="1">
      <alignment horizontal="center" vertical="center" wrapText="1"/>
    </xf>
    <xf numFmtId="16" fontId="27" fillId="0" borderId="2" xfId="0" applyNumberFormat="1" applyFont="1" applyBorder="1" applyAlignment="1">
      <alignment horizontal="center"/>
    </xf>
    <xf numFmtId="0" fontId="27" fillId="0" borderId="0" xfId="0" applyFont="1"/>
    <xf numFmtId="0" fontId="35" fillId="0" borderId="0" xfId="0" applyFont="1"/>
    <xf numFmtId="0" fontId="18" fillId="0" borderId="0" xfId="0" applyFont="1" applyAlignment="1">
      <alignment horizontal="center"/>
    </xf>
    <xf numFmtId="16" fontId="6" fillId="0" borderId="2" xfId="0" applyNumberFormat="1" applyFont="1" applyBorder="1" applyAlignment="1">
      <alignment horizontal="left" indent="1"/>
    </xf>
    <xf numFmtId="164" fontId="14" fillId="0" borderId="0" xfId="1" applyFont="1" applyFill="1" applyBorder="1" applyAlignment="1">
      <alignment horizontal="center" vertical="center"/>
    </xf>
    <xf numFmtId="164" fontId="14" fillId="0" borderId="0" xfId="1" applyFont="1" applyFill="1" applyBorder="1"/>
    <xf numFmtId="0" fontId="9" fillId="0" borderId="0" xfId="0" applyFont="1" applyAlignment="1">
      <alignment horizontal="left" indent="1"/>
    </xf>
    <xf numFmtId="0" fontId="8" fillId="6" borderId="2" xfId="0" applyFont="1" applyFill="1" applyBorder="1" applyAlignment="1">
      <alignment horizontal="center"/>
    </xf>
    <xf numFmtId="164" fontId="14" fillId="0" borderId="1" xfId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12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left"/>
    </xf>
    <xf numFmtId="0" fontId="4" fillId="0" borderId="1" xfId="0" applyFont="1" applyBorder="1" applyAlignment="1">
      <alignment horizontal="left" vertical="center" wrapText="1"/>
    </xf>
    <xf numFmtId="0" fontId="0" fillId="0" borderId="34" xfId="0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1" xfId="0" applyBorder="1" applyAlignment="1">
      <alignment horizontal="left" vertical="center"/>
    </xf>
    <xf numFmtId="0" fontId="4" fillId="0" borderId="1" xfId="0" applyFont="1" applyBorder="1" applyAlignment="1">
      <alignment vertical="center"/>
    </xf>
    <xf numFmtId="0" fontId="0" fillId="0" borderId="28" xfId="0" applyBorder="1"/>
    <xf numFmtId="0" fontId="0" fillId="0" borderId="34" xfId="0" applyBorder="1"/>
    <xf numFmtId="0" fontId="0" fillId="0" borderId="29" xfId="0" applyBorder="1"/>
    <xf numFmtId="0" fontId="4" fillId="0" borderId="28" xfId="0" applyFont="1" applyBorder="1" applyAlignment="1">
      <alignment horizontal="left" vertical="center"/>
    </xf>
    <xf numFmtId="0" fontId="4" fillId="0" borderId="34" xfId="0" applyFont="1" applyBorder="1" applyAlignment="1">
      <alignment horizontal="left" vertical="center"/>
    </xf>
    <xf numFmtId="0" fontId="4" fillId="0" borderId="29" xfId="0" applyFont="1" applyBorder="1" applyAlignment="1">
      <alignment horizontal="left" vertical="center"/>
    </xf>
    <xf numFmtId="0" fontId="4" fillId="5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4" fillId="0" borderId="28" xfId="0" applyFont="1" applyBorder="1" applyAlignment="1">
      <alignment vertical="center"/>
    </xf>
    <xf numFmtId="0" fontId="4" fillId="0" borderId="34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4" fillId="6" borderId="1" xfId="0" applyFont="1" applyFill="1" applyBorder="1" applyAlignment="1">
      <alignment horizontal="left" vertical="center"/>
    </xf>
    <xf numFmtId="0" fontId="0" fillId="4" borderId="1" xfId="0" applyFill="1" applyBorder="1" applyAlignment="1">
      <alignment horizontal="center"/>
    </xf>
    <xf numFmtId="0" fontId="4" fillId="2" borderId="1" xfId="0" applyFont="1" applyFill="1" applyBorder="1" applyAlignment="1">
      <alignment horizontal="left" vertical="center"/>
    </xf>
    <xf numFmtId="0" fontId="0" fillId="0" borderId="28" xfId="0" applyBorder="1" applyAlignment="1">
      <alignment horizontal="left" wrapText="1"/>
    </xf>
    <xf numFmtId="0" fontId="14" fillId="0" borderId="0" xfId="0" applyFont="1"/>
    <xf numFmtId="0" fontId="20" fillId="0" borderId="0" xfId="0" applyFont="1" applyAlignment="1">
      <alignment horizontal="center"/>
    </xf>
    <xf numFmtId="0" fontId="0" fillId="0" borderId="34" xfId="0" applyBorder="1" applyAlignment="1">
      <alignment horizontal="left" wrapText="1"/>
    </xf>
    <xf numFmtId="0" fontId="0" fillId="0" borderId="29" xfId="0" applyBorder="1" applyAlignment="1">
      <alignment horizontal="left" wrapText="1"/>
    </xf>
    <xf numFmtId="0" fontId="0" fillId="0" borderId="28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0" fillId="0" borderId="29" xfId="0" applyBorder="1" applyAlignment="1">
      <alignment horizontal="left" vertical="center"/>
    </xf>
    <xf numFmtId="0" fontId="8" fillId="0" borderId="0" xfId="0" applyFont="1" applyAlignment="1">
      <alignment vertical="top" wrapText="1"/>
    </xf>
    <xf numFmtId="0" fontId="30" fillId="0" borderId="49" xfId="0" applyFont="1" applyBorder="1" applyAlignment="1">
      <alignment horizontal="center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/>
    </xf>
    <xf numFmtId="0" fontId="0" fillId="0" borderId="0" xfId="0"/>
    <xf numFmtId="0" fontId="8" fillId="0" borderId="0" xfId="0" applyFont="1" applyAlignment="1">
      <alignment horizontal="center"/>
    </xf>
    <xf numFmtId="0" fontId="8" fillId="0" borderId="7" xfId="0" applyFont="1" applyBorder="1" applyAlignment="1">
      <alignment horizontal="center"/>
    </xf>
    <xf numFmtId="0" fontId="6" fillId="2" borderId="30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8" fillId="0" borderId="31" xfId="0" applyFont="1" applyBorder="1" applyAlignment="1">
      <alignment horizontal="left"/>
    </xf>
    <xf numFmtId="0" fontId="8" fillId="0" borderId="18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32" xfId="0" applyFont="1" applyBorder="1" applyAlignment="1">
      <alignment vertical="top" wrapText="1"/>
    </xf>
    <xf numFmtId="0" fontId="8" fillId="0" borderId="31" xfId="0" applyFont="1" applyBorder="1" applyAlignment="1">
      <alignment vertical="top" wrapText="1"/>
    </xf>
    <xf numFmtId="0" fontId="8" fillId="0" borderId="33" xfId="0" applyFont="1" applyBorder="1" applyAlignment="1">
      <alignment vertical="top" wrapText="1"/>
    </xf>
    <xf numFmtId="0" fontId="8" fillId="0" borderId="32" xfId="0" applyFont="1" applyBorder="1" applyAlignment="1">
      <alignment horizontal="left" vertical="top" wrapText="1"/>
    </xf>
    <xf numFmtId="0" fontId="8" fillId="0" borderId="31" xfId="0" applyFont="1" applyBorder="1" applyAlignment="1">
      <alignment horizontal="left" vertical="top" wrapText="1"/>
    </xf>
    <xf numFmtId="0" fontId="8" fillId="0" borderId="33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166" fontId="8" fillId="0" borderId="1" xfId="0" applyNumberFormat="1" applyFont="1" applyBorder="1" applyAlignment="1">
      <alignment horizontal="center"/>
    </xf>
    <xf numFmtId="166" fontId="8" fillId="0" borderId="21" xfId="0" applyNumberFormat="1" applyFont="1" applyBorder="1" applyAlignment="1">
      <alignment horizontal="center"/>
    </xf>
    <xf numFmtId="0" fontId="8" fillId="0" borderId="2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8" fillId="0" borderId="1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6" fillId="0" borderId="0" xfId="0" applyFont="1" applyAlignment="1">
      <alignment horizontal="left" indent="1"/>
    </xf>
    <xf numFmtId="0" fontId="8" fillId="0" borderId="4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8" fillId="0" borderId="0" xfId="0" applyFont="1"/>
    <xf numFmtId="0" fontId="8" fillId="0" borderId="7" xfId="0" applyFont="1" applyBorder="1"/>
    <xf numFmtId="0" fontId="8" fillId="0" borderId="9" xfId="0" applyFont="1" applyBorder="1" applyAlignment="1">
      <alignment horizontal="left"/>
    </xf>
    <xf numFmtId="0" fontId="8" fillId="0" borderId="10" xfId="0" applyFont="1" applyBorder="1" applyAlignment="1">
      <alignment horizontal="left"/>
    </xf>
    <xf numFmtId="0" fontId="8" fillId="0" borderId="12" xfId="0" applyFont="1" applyBorder="1" applyAlignment="1">
      <alignment horizontal="left"/>
    </xf>
    <xf numFmtId="0" fontId="8" fillId="0" borderId="13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22" fillId="0" borderId="0" xfId="0" applyFont="1"/>
    <xf numFmtId="0" fontId="37" fillId="0" borderId="0" xfId="0" applyFont="1"/>
    <xf numFmtId="0" fontId="22" fillId="0" borderId="0" xfId="0" applyFont="1" applyAlignment="1">
      <alignment horizontal="left" indent="1"/>
    </xf>
    <xf numFmtId="14" fontId="8" fillId="0" borderId="1" xfId="0" applyNumberFormat="1" applyFont="1" applyBorder="1" applyAlignment="1">
      <alignment horizontal="center"/>
    </xf>
    <xf numFmtId="0" fontId="37" fillId="0" borderId="0" xfId="0" applyFont="1" applyAlignment="1">
      <alignment horizontal="left"/>
    </xf>
    <xf numFmtId="0" fontId="8" fillId="0" borderId="46" xfId="0" applyFont="1" applyBorder="1" applyAlignment="1">
      <alignment horizontal="center"/>
    </xf>
    <xf numFmtId="0" fontId="8" fillId="0" borderId="47" xfId="0" applyFont="1" applyBorder="1" applyAlignment="1">
      <alignment horizontal="center"/>
    </xf>
    <xf numFmtId="166" fontId="8" fillId="0" borderId="28" xfId="0" applyNumberFormat="1" applyFont="1" applyBorder="1" applyAlignment="1">
      <alignment horizontal="center"/>
    </xf>
    <xf numFmtId="166" fontId="8" fillId="0" borderId="48" xfId="0" applyNumberFormat="1" applyFont="1" applyBorder="1" applyAlignment="1">
      <alignment horizontal="center"/>
    </xf>
    <xf numFmtId="0" fontId="8" fillId="0" borderId="28" xfId="0" applyFont="1" applyBorder="1" applyAlignment="1">
      <alignment horizontal="center"/>
    </xf>
    <xf numFmtId="0" fontId="8" fillId="0" borderId="48" xfId="0" applyFont="1" applyBorder="1" applyAlignment="1">
      <alignment horizontal="center"/>
    </xf>
    <xf numFmtId="0" fontId="9" fillId="0" borderId="4" xfId="0" applyFont="1" applyBorder="1" applyAlignment="1">
      <alignment horizontal="left" vertical="top" wrapText="1"/>
    </xf>
    <xf numFmtId="0" fontId="9" fillId="0" borderId="7" xfId="0" applyFont="1" applyBorder="1" applyAlignment="1">
      <alignment horizontal="left" vertical="top" wrapText="1"/>
    </xf>
    <xf numFmtId="0" fontId="9" fillId="0" borderId="5" xfId="0" applyFont="1" applyBorder="1" applyAlignment="1">
      <alignment horizontal="left" vertical="top" wrapText="1"/>
    </xf>
    <xf numFmtId="0" fontId="16" fillId="0" borderId="0" xfId="0" applyFont="1" applyAlignment="1">
      <alignment horizontal="left"/>
    </xf>
    <xf numFmtId="166" fontId="8" fillId="0" borderId="1" xfId="0" quotePrefix="1" applyNumberFormat="1" applyFont="1" applyBorder="1" applyAlignment="1">
      <alignment horizontal="center"/>
    </xf>
    <xf numFmtId="0" fontId="20" fillId="0" borderId="0" xfId="0" applyFont="1" applyAlignment="1">
      <alignment horizontal="left" indent="1"/>
    </xf>
    <xf numFmtId="0" fontId="8" fillId="0" borderId="14" xfId="0" applyFont="1" applyBorder="1"/>
    <xf numFmtId="0" fontId="14" fillId="0" borderId="9" xfId="0" applyFont="1" applyBorder="1" applyAlignment="1">
      <alignment horizontal="left"/>
    </xf>
    <xf numFmtId="0" fontId="14" fillId="0" borderId="10" xfId="0" applyFont="1" applyBorder="1" applyAlignment="1">
      <alignment horizontal="left"/>
    </xf>
    <xf numFmtId="0" fontId="20" fillId="0" borderId="14" xfId="0" applyFont="1" applyBorder="1" applyAlignment="1">
      <alignment horizontal="center"/>
    </xf>
    <xf numFmtId="0" fontId="13" fillId="0" borderId="4" xfId="2" applyBorder="1" applyAlignment="1">
      <alignment horizontal="left" vertical="top" wrapText="1"/>
    </xf>
    <xf numFmtId="0" fontId="6" fillId="0" borderId="0" xfId="0" applyFont="1" applyAlignment="1">
      <alignment horizontal="left"/>
    </xf>
    <xf numFmtId="0" fontId="36" fillId="0" borderId="0" xfId="0" applyFont="1"/>
    <xf numFmtId="0" fontId="6" fillId="0" borderId="0" xfId="0" applyFont="1"/>
    <xf numFmtId="0" fontId="18" fillId="0" borderId="0" xfId="0" applyFont="1" applyAlignment="1">
      <alignment horizontal="left" indent="1"/>
    </xf>
    <xf numFmtId="0" fontId="6" fillId="0" borderId="31" xfId="0" applyFont="1" applyBorder="1" applyAlignment="1">
      <alignment horizontal="left" indent="1"/>
    </xf>
    <xf numFmtId="0" fontId="16" fillId="0" borderId="0" xfId="0" applyFont="1"/>
    <xf numFmtId="164" fontId="8" fillId="0" borderId="0" xfId="1" applyFont="1" applyBorder="1" applyAlignment="1">
      <alignment horizontal="center"/>
    </xf>
    <xf numFmtId="164" fontId="8" fillId="0" borderId="3" xfId="1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7" xfId="0" applyFont="1" applyBorder="1" applyAlignment="1">
      <alignment horizontal="center"/>
    </xf>
    <xf numFmtId="0" fontId="14" fillId="0" borderId="7" xfId="0" applyFont="1" applyBorder="1"/>
    <xf numFmtId="0" fontId="6" fillId="0" borderId="7" xfId="0" applyFont="1" applyBorder="1" applyAlignment="1">
      <alignment horizontal="center"/>
    </xf>
    <xf numFmtId="0" fontId="6" fillId="2" borderId="39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/>
    </xf>
    <xf numFmtId="0" fontId="38" fillId="0" borderId="0" xfId="0" applyFont="1"/>
    <xf numFmtId="0" fontId="8" fillId="0" borderId="7" xfId="0" applyFont="1" applyBorder="1" applyAlignment="1">
      <alignment horizontal="right"/>
    </xf>
    <xf numFmtId="0" fontId="6" fillId="2" borderId="30" xfId="0" applyFont="1" applyFill="1" applyBorder="1" applyAlignment="1">
      <alignment horizontal="right" vertical="center"/>
    </xf>
    <xf numFmtId="0" fontId="6" fillId="2" borderId="26" xfId="0" applyFont="1" applyFill="1" applyBorder="1" applyAlignment="1">
      <alignment horizontal="right" vertical="center"/>
    </xf>
    <xf numFmtId="0" fontId="6" fillId="2" borderId="27" xfId="0" applyFont="1" applyFill="1" applyBorder="1" applyAlignment="1">
      <alignment horizontal="right" vertical="center"/>
    </xf>
    <xf numFmtId="0" fontId="8" fillId="0" borderId="0" xfId="0" applyFont="1" applyAlignment="1">
      <alignment horizontal="right"/>
    </xf>
    <xf numFmtId="0" fontId="6" fillId="0" borderId="14" xfId="0" applyFont="1" applyBorder="1" applyAlignment="1">
      <alignment horizontal="center"/>
    </xf>
    <xf numFmtId="0" fontId="6" fillId="2" borderId="1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38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 indent="1"/>
    </xf>
    <xf numFmtId="0" fontId="9" fillId="0" borderId="32" xfId="0" applyFont="1" applyBorder="1" applyAlignment="1">
      <alignment vertical="top" wrapText="1"/>
    </xf>
    <xf numFmtId="0" fontId="9" fillId="0" borderId="31" xfId="0" applyFont="1" applyBorder="1" applyAlignment="1">
      <alignment vertical="top" wrapText="1"/>
    </xf>
    <xf numFmtId="0" fontId="9" fillId="0" borderId="33" xfId="0" applyFont="1" applyBorder="1" applyAlignment="1">
      <alignment vertical="top" wrapText="1"/>
    </xf>
    <xf numFmtId="0" fontId="8" fillId="0" borderId="1" xfId="0" quotePrefix="1" applyFont="1" applyBorder="1" applyAlignment="1">
      <alignment horizontal="center"/>
    </xf>
    <xf numFmtId="0" fontId="8" fillId="0" borderId="31" xfId="0" applyFont="1" applyBorder="1"/>
    <xf numFmtId="0" fontId="8" fillId="0" borderId="15" xfId="0" applyFont="1" applyBorder="1" applyAlignment="1">
      <alignment horizontal="left"/>
    </xf>
    <xf numFmtId="0" fontId="8" fillId="0" borderId="16" xfId="0" applyFont="1" applyBorder="1" applyAlignment="1">
      <alignment horizontal="left"/>
    </xf>
    <xf numFmtId="0" fontId="8" fillId="0" borderId="14" xfId="0" applyFont="1" applyBorder="1" applyAlignment="1">
      <alignment horizontal="left"/>
    </xf>
    <xf numFmtId="0" fontId="20" fillId="0" borderId="0" xfId="0" applyFont="1"/>
    <xf numFmtId="0" fontId="32" fillId="0" borderId="0" xfId="0" applyFont="1"/>
    <xf numFmtId="0" fontId="20" fillId="0" borderId="31" xfId="0" applyFont="1" applyBorder="1" applyAlignment="1">
      <alignment horizontal="left" indent="1"/>
    </xf>
    <xf numFmtId="0" fontId="35" fillId="0" borderId="0" xfId="0" applyFont="1"/>
    <xf numFmtId="0" fontId="15" fillId="0" borderId="2" xfId="0" applyFont="1" applyBorder="1" applyAlignment="1">
      <alignment vertical="top" wrapText="1"/>
    </xf>
    <xf numFmtId="0" fontId="15" fillId="0" borderId="0" xfId="0" applyFont="1" applyAlignment="1">
      <alignment vertical="top" wrapText="1"/>
    </xf>
    <xf numFmtId="0" fontId="15" fillId="0" borderId="3" xfId="0" applyFont="1" applyBorder="1" applyAlignment="1">
      <alignment vertical="top" wrapText="1"/>
    </xf>
    <xf numFmtId="0" fontId="16" fillId="2" borderId="30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center" vertical="center"/>
    </xf>
    <xf numFmtId="0" fontId="8" fillId="0" borderId="36" xfId="0" applyFont="1" applyBorder="1" applyAlignment="1">
      <alignment horizontal="center"/>
    </xf>
    <xf numFmtId="0" fontId="8" fillId="0" borderId="44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9" fillId="0" borderId="2" xfId="0" applyFont="1" applyBorder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9" fillId="0" borderId="3" xfId="0" applyFont="1" applyBorder="1" applyAlignment="1">
      <alignment horizontal="left" vertical="top" wrapText="1"/>
    </xf>
    <xf numFmtId="0" fontId="20" fillId="0" borderId="0" xfId="0" applyFont="1" applyAlignment="1">
      <alignment horizontal="left"/>
    </xf>
    <xf numFmtId="0" fontId="13" fillId="0" borderId="4" xfId="2" applyBorder="1" applyAlignment="1">
      <alignment vertical="top" wrapText="1"/>
    </xf>
    <xf numFmtId="0" fontId="13" fillId="0" borderId="7" xfId="2" applyBorder="1" applyAlignment="1">
      <alignment vertical="top" wrapText="1"/>
    </xf>
    <xf numFmtId="0" fontId="13" fillId="0" borderId="5" xfId="2" applyBorder="1" applyAlignment="1">
      <alignment vertical="top" wrapText="1"/>
    </xf>
    <xf numFmtId="0" fontId="14" fillId="0" borderId="0" xfId="0" applyFont="1" applyAlignment="1">
      <alignment horizontal="left"/>
    </xf>
    <xf numFmtId="0" fontId="16" fillId="0" borderId="0" xfId="0" applyFont="1" applyAlignment="1">
      <alignment horizontal="right" indent="1"/>
    </xf>
    <xf numFmtId="0" fontId="9" fillId="0" borderId="0" xfId="0" applyFont="1" applyAlignment="1">
      <alignment horizontal="left" indent="1"/>
    </xf>
    <xf numFmtId="164" fontId="14" fillId="0" borderId="0" xfId="1" applyFont="1" applyFill="1" applyBorder="1" applyAlignment="1">
      <alignment horizontal="center"/>
    </xf>
    <xf numFmtId="164" fontId="14" fillId="0" borderId="3" xfId="1" applyFont="1" applyFill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21" xfId="0" applyFont="1" applyBorder="1" applyAlignment="1">
      <alignment horizontal="center"/>
    </xf>
    <xf numFmtId="0" fontId="8" fillId="0" borderId="1" xfId="0" applyFont="1" applyBorder="1" applyAlignment="1">
      <alignment horizontal="left" indent="2"/>
    </xf>
    <xf numFmtId="0" fontId="8" fillId="0" borderId="21" xfId="0" applyFont="1" applyBorder="1" applyAlignment="1">
      <alignment horizontal="left" indent="2"/>
    </xf>
    <xf numFmtId="0" fontId="8" fillId="3" borderId="12" xfId="0" applyFont="1" applyFill="1" applyBorder="1" applyAlignment="1">
      <alignment horizontal="left"/>
    </xf>
    <xf numFmtId="0" fontId="8" fillId="3" borderId="13" xfId="0" applyFont="1" applyFill="1" applyBorder="1" applyAlignment="1">
      <alignment horizontal="left"/>
    </xf>
    <xf numFmtId="0" fontId="39" fillId="0" borderId="0" xfId="0" applyFont="1"/>
    <xf numFmtId="0" fontId="6" fillId="2" borderId="30" xfId="0" applyFont="1" applyFill="1" applyBorder="1" applyAlignment="1">
      <alignment horizontal="left" vertical="center" indent="1"/>
    </xf>
    <xf numFmtId="0" fontId="6" fillId="2" borderId="26" xfId="0" applyFont="1" applyFill="1" applyBorder="1" applyAlignment="1">
      <alignment horizontal="left" vertical="center" indent="1"/>
    </xf>
    <xf numFmtId="0" fontId="9" fillId="0" borderId="0" xfId="0" applyFont="1" applyAlignment="1">
      <alignment horizontal="left"/>
    </xf>
    <xf numFmtId="0" fontId="8" fillId="0" borderId="0" xfId="0" applyFont="1" applyAlignment="1">
      <alignment horizontal="left" indent="1"/>
    </xf>
    <xf numFmtId="0" fontId="6" fillId="0" borderId="7" xfId="0" applyFont="1" applyBorder="1"/>
    <xf numFmtId="0" fontId="18" fillId="0" borderId="0" xfId="0" applyFont="1"/>
    <xf numFmtId="0" fontId="45" fillId="0" borderId="0" xfId="0" applyFont="1"/>
    <xf numFmtId="0" fontId="41" fillId="0" borderId="0" xfId="0" applyFont="1"/>
    <xf numFmtId="164" fontId="14" fillId="0" borderId="0" xfId="1" applyFont="1" applyBorder="1" applyAlignment="1">
      <alignment horizontal="center"/>
    </xf>
    <xf numFmtId="164" fontId="14" fillId="0" borderId="3" xfId="1" applyFont="1" applyBorder="1" applyAlignment="1">
      <alignment horizontal="center"/>
    </xf>
    <xf numFmtId="0" fontId="8" fillId="0" borderId="2" xfId="0" quotePrefix="1" applyFont="1" applyBorder="1" applyAlignment="1">
      <alignment vertical="top" wrapText="1"/>
    </xf>
    <xf numFmtId="0" fontId="8" fillId="0" borderId="0" xfId="0" quotePrefix="1" applyFont="1" applyAlignment="1">
      <alignment vertical="top" wrapText="1"/>
    </xf>
    <xf numFmtId="0" fontId="8" fillId="0" borderId="3" xfId="0" quotePrefix="1" applyFont="1" applyBorder="1" applyAlignment="1">
      <alignment vertical="top" wrapText="1"/>
    </xf>
    <xf numFmtId="1" fontId="8" fillId="0" borderId="1" xfId="0" quotePrefix="1" applyNumberFormat="1" applyFont="1" applyBorder="1" applyAlignment="1">
      <alignment horizontal="center"/>
    </xf>
    <xf numFmtId="1" fontId="8" fillId="0" borderId="21" xfId="0" applyNumberFormat="1" applyFont="1" applyBorder="1" applyAlignment="1">
      <alignment horizontal="center"/>
    </xf>
    <xf numFmtId="14" fontId="8" fillId="0" borderId="1" xfId="0" quotePrefix="1" applyNumberFormat="1" applyFont="1" applyBorder="1" applyAlignment="1">
      <alignment horizontal="center"/>
    </xf>
    <xf numFmtId="0" fontId="8" fillId="0" borderId="4" xfId="0" applyFont="1" applyBorder="1" applyAlignment="1">
      <alignment vertical="top" wrapText="1"/>
    </xf>
    <xf numFmtId="0" fontId="8" fillId="0" borderId="7" xfId="0" applyFont="1" applyBorder="1" applyAlignment="1">
      <alignment vertical="top" wrapText="1"/>
    </xf>
    <xf numFmtId="0" fontId="8" fillId="0" borderId="5" xfId="0" applyFont="1" applyBorder="1" applyAlignment="1">
      <alignment vertical="top" wrapText="1"/>
    </xf>
    <xf numFmtId="0" fontId="9" fillId="0" borderId="0" xfId="0" applyFont="1" applyAlignment="1">
      <alignment horizontal="center"/>
    </xf>
    <xf numFmtId="0" fontId="9" fillId="3" borderId="0" xfId="0" applyFont="1" applyFill="1" applyAlignment="1">
      <alignment horizontal="left"/>
    </xf>
    <xf numFmtId="0" fontId="8" fillId="0" borderId="31" xfId="0" applyFont="1" applyBorder="1" applyAlignment="1">
      <alignment horizontal="center"/>
    </xf>
    <xf numFmtId="0" fontId="34" fillId="0" borderId="0" xfId="0" applyFont="1" applyAlignment="1">
      <alignment wrapText="1"/>
    </xf>
  </cellXfs>
  <cellStyles count="4">
    <cellStyle name="Currency" xfId="1" builtinId="4"/>
    <cellStyle name="Hyperlink" xfId="2" builtinId="8"/>
    <cellStyle name="Normal" xfId="0" builtinId="0"/>
    <cellStyle name="Percent" xfId="3" builtinId="5"/>
  </cellStyles>
  <dxfs count="26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99"/>
      <color rgb="FFFFCC66"/>
      <color rgb="FF99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externalLink" Target="externalLinks/externalLink2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externalLink" Target="externalLinks/externalLink3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theme" Target="theme/theme1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styles" Target="styles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sharedStrings" Target="sharedString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calcChain" Target="calcChain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externalLink" Target="externalLinks/externalLink1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4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2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222D61D-968D-4044-80DB-37065E178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46615F-9069-4813-A224-3B32BA427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69BBBF-CAA0-4848-AFC5-662F98A6E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A7C1DF-FC68-445E-AACE-DFA516C4B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5F7541-747A-4BE7-8547-D29F75FC2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D28BAF-7DB6-48A0-AC79-DBE9B1187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514350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9F0D1B-B2C9-BF33-1DF4-D5B4AB9C5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B62A3A-C366-4C19-A123-24E2C9A0C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781A8C-B09B-476A-9289-F07988533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7F666C-4062-4D0F-9FD9-A20C2A690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520700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4B78D9-05CF-408A-BCBA-67AA1D55F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463550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9312A31-8841-9C53-4341-0E17961BD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A4B4DA-BDFD-4593-BAE0-B3BCC2F1B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520700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276E72-157F-4D8D-8DD3-730417655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431800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3443E60-4FF7-42AD-9EDA-499940CB0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80AAFE-68E0-40EE-300B-F4E394EE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FF2C1C-118F-4C05-BAB7-F1BDEDC3D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819150</xdr:colOff>
      <xdr:row>0</xdr:row>
      <xdr:rowOff>209550</xdr:rowOff>
    </xdr:from>
    <xdr:to>
      <xdr:col>10</xdr:col>
      <xdr:colOff>412036</xdr:colOff>
      <xdr:row>7</xdr:row>
      <xdr:rowOff>107757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A22284-61CA-4030-92D9-1DC64AA6E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0" y="209550"/>
          <a:ext cx="5714286" cy="1542857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122DDFFA-CE5B-45C4-A6D3-2AF34C366C13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6F0B3CFB-96EC-46E3-9B0B-D31D5CA92CD5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1796AAFD-D2D4-4ED4-BA90-B86CA3B41743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7" name="Graphic 16" descr="Telephone outline">
            <a:extLst>
              <a:ext uri="{FF2B5EF4-FFF2-40B4-BE49-F238E27FC236}">
                <a16:creationId xmlns:a16="http://schemas.microsoft.com/office/drawing/2014/main" id="{690AB1A6-01FA-4CEC-A6CB-7985F2F6CBD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8" name="Graphic 17" descr="Smart Phone outline">
            <a:extLst>
              <a:ext uri="{FF2B5EF4-FFF2-40B4-BE49-F238E27FC236}">
                <a16:creationId xmlns:a16="http://schemas.microsoft.com/office/drawing/2014/main" id="{BD3DE44F-1469-4497-9BE2-597D7A1831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9" name="Graphic 18" descr="Printer outline">
            <a:extLst>
              <a:ext uri="{FF2B5EF4-FFF2-40B4-BE49-F238E27FC236}">
                <a16:creationId xmlns:a16="http://schemas.microsoft.com/office/drawing/2014/main" id="{6EF59040-1F1C-436B-9A67-4A7656BFCB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780336</xdr:colOff>
      <xdr:row>7</xdr:row>
      <xdr:rowOff>63307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D180AC3-C78B-4856-8F49-21CA5A307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71B278-F423-76F9-C742-1121127E9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520700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126BF06-6041-4E5A-9201-041BD0CF9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254000</xdr:colOff>
      <xdr:row>0</xdr:row>
      <xdr:rowOff>0</xdr:rowOff>
    </xdr:from>
    <xdr:to>
      <xdr:col>11</xdr:col>
      <xdr:colOff>622300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B25C3D-4B9B-9AB9-0227-48958F719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D5B246-072C-D716-023A-5D6439F9C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294ECE-CB46-435B-A50B-1867D867C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6350</xdr:rowOff>
    </xdr:from>
    <xdr:to>
      <xdr:col>11</xdr:col>
      <xdr:colOff>501650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312FD5-69B6-49BC-A388-AF8B39150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C2916AA6-3217-4B6A-A6A5-44E55AFB7A25}"/>
            </a:ext>
          </a:extLst>
        </xdr:cNvPr>
        <xdr:cNvGrpSpPr/>
      </xdr:nvGrpSpPr>
      <xdr:grpSpPr>
        <a:xfrm>
          <a:off x="2406312" y="74381"/>
          <a:ext cx="6483687" cy="1675459"/>
          <a:chOff x="1936412" y="131531"/>
          <a:chExt cx="6656021" cy="1675459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A3537E92-CB26-4C12-8339-E23955789004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3989CB60-59AA-49EF-A5CC-296FDF876AD6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1" name="Graphic 10" descr="Telephone outline">
            <a:extLst>
              <a:ext uri="{FF2B5EF4-FFF2-40B4-BE49-F238E27FC236}">
                <a16:creationId xmlns:a16="http://schemas.microsoft.com/office/drawing/2014/main" id="{4DE6DD7C-5420-461B-BD72-A83679A953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2" name="Graphic 11" descr="Smart Phone outline">
            <a:extLst>
              <a:ext uri="{FF2B5EF4-FFF2-40B4-BE49-F238E27FC236}">
                <a16:creationId xmlns:a16="http://schemas.microsoft.com/office/drawing/2014/main" id="{FD74E6AA-6182-4A39-A7D9-92581B8C4B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3" name="Graphic 12" descr="Printer outline">
            <a:extLst>
              <a:ext uri="{FF2B5EF4-FFF2-40B4-BE49-F238E27FC236}">
                <a16:creationId xmlns:a16="http://schemas.microsoft.com/office/drawing/2014/main" id="{80515C13-2E21-435A-A879-40619DC51E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551736</xdr:colOff>
      <xdr:row>7</xdr:row>
      <xdr:rowOff>88707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ECD301B-DB6A-4C83-8BD9-3524FD30D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BF6E2961-3102-4446-B1C1-9EF8180B162C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CAF7B4B2-6D99-4F92-884F-FC1BCD091331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FAB8C582-FEA7-41D7-B194-DBFEB215A2AB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1" name="Graphic 10" descr="Telephone outline">
            <a:extLst>
              <a:ext uri="{FF2B5EF4-FFF2-40B4-BE49-F238E27FC236}">
                <a16:creationId xmlns:a16="http://schemas.microsoft.com/office/drawing/2014/main" id="{BE26D2FC-A1C1-4BEC-B834-8B87AF4A2B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2" name="Graphic 11" descr="Smart Phone outline">
            <a:extLst>
              <a:ext uri="{FF2B5EF4-FFF2-40B4-BE49-F238E27FC236}">
                <a16:creationId xmlns:a16="http://schemas.microsoft.com/office/drawing/2014/main" id="{66BD9A82-BDBC-4846-8842-0C5F3BB2D0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3" name="Graphic 12" descr="Printer outline">
            <a:extLst>
              <a:ext uri="{FF2B5EF4-FFF2-40B4-BE49-F238E27FC236}">
                <a16:creationId xmlns:a16="http://schemas.microsoft.com/office/drawing/2014/main" id="{93962991-3552-4388-98D6-BF8129A7FA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780336</xdr:colOff>
      <xdr:row>7</xdr:row>
      <xdr:rowOff>63307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4766B7B-E02D-4A3A-AAD9-D47249903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166909-4308-0668-6D07-07E5E2398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2597DE-A866-4369-A4B7-E2071C84A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381000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007036-73AA-4B79-815F-4073D3C7E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508000</xdr:colOff>
      <xdr:row>0</xdr:row>
      <xdr:rowOff>6350</xdr:rowOff>
    </xdr:from>
    <xdr:to>
      <xdr:col>11</xdr:col>
      <xdr:colOff>565150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857795-C8AE-4AC1-96B2-7D8D9850E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463550</xdr:colOff>
      <xdr:row>0</xdr:row>
      <xdr:rowOff>25400</xdr:rowOff>
    </xdr:from>
    <xdr:to>
      <xdr:col>11</xdr:col>
      <xdr:colOff>381000</xdr:colOff>
      <xdr:row>7</xdr:row>
      <xdr:rowOff>231552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34A6DF-37E3-4A89-A30C-DBA53186C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50" y="25400"/>
          <a:ext cx="7772400" cy="1850802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527050</xdr:colOff>
      <xdr:row>0</xdr:row>
      <xdr:rowOff>0</xdr:rowOff>
    </xdr:from>
    <xdr:to>
      <xdr:col>11</xdr:col>
      <xdr:colOff>285750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CCBF72-11C1-4C89-88FD-5926F78F4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3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381000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C6D0BF-95E4-B3C9-0089-FE7AD6D32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EC73E0-3A96-4A96-BF6A-1755188D8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400050</xdr:colOff>
      <xdr:row>0</xdr:row>
      <xdr:rowOff>0</xdr:rowOff>
    </xdr:from>
    <xdr:ext cx="7772400" cy="1850802"/>
    <xdr:pic>
      <xdr:nvPicPr>
        <xdr:cNvPr id="2" name="Picture 1">
          <a:extLst>
            <a:ext uri="{FF2B5EF4-FFF2-40B4-BE49-F238E27FC236}">
              <a16:creationId xmlns:a16="http://schemas.microsoft.com/office/drawing/2014/main" id="{39A4D2CC-3DA0-4EAC-8C96-AD5E91770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one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409230</xdr:colOff>
      <xdr:row>0</xdr:row>
      <xdr:rowOff>0</xdr:rowOff>
    </xdr:from>
    <xdr:to>
      <xdr:col>11</xdr:col>
      <xdr:colOff>476963</xdr:colOff>
      <xdr:row>7</xdr:row>
      <xdr:rowOff>220969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469CDC-3B62-4F6A-BD4A-EE151F479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530" y="0"/>
          <a:ext cx="7776633" cy="1865619"/>
        </a:xfrm>
        <a:prstGeom prst="rect">
          <a:avLst/>
        </a:prstGeom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33DE67-EB07-4B07-8457-64CF0D35D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546100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D0E99B-47AB-46AF-F094-4070F72F5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5AD9D7-D277-406B-BD6A-D012B3D00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241300</xdr:colOff>
      <xdr:row>0</xdr:row>
      <xdr:rowOff>0</xdr:rowOff>
    </xdr:from>
    <xdr:to>
      <xdr:col>11</xdr:col>
      <xdr:colOff>609600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2A83E8-ABBF-C5EE-79C8-401164AC8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590550</xdr:colOff>
      <xdr:row>0</xdr:row>
      <xdr:rowOff>0</xdr:rowOff>
    </xdr:from>
    <xdr:to>
      <xdr:col>11</xdr:col>
      <xdr:colOff>271556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D7F200E-F51E-06BB-09D6-F065C7E5D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0</xdr:rowOff>
    </xdr:from>
    <xdr:to>
      <xdr:col>11</xdr:col>
      <xdr:colOff>444500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0EE382-1F62-0D15-29ED-4FA0458A8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457200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6FA6A6-E87B-189B-ED6E-33E4B46CD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409230</xdr:colOff>
      <xdr:row>0</xdr:row>
      <xdr:rowOff>0</xdr:rowOff>
    </xdr:from>
    <xdr:to>
      <xdr:col>11</xdr:col>
      <xdr:colOff>419813</xdr:colOff>
      <xdr:row>7</xdr:row>
      <xdr:rowOff>220969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3E2D10-C86F-40BC-A61E-A16F80FCF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530" y="0"/>
          <a:ext cx="7776633" cy="186561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EC3B5E-033D-F1F2-7D4D-0CDA2D2F7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508000</xdr:colOff>
      <xdr:row>0</xdr:row>
      <xdr:rowOff>0</xdr:rowOff>
    </xdr:from>
    <xdr:to>
      <xdr:col>11</xdr:col>
      <xdr:colOff>412750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2AAA41-420A-E131-A782-7C22573CB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374650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530A8D-C912-45C6-815D-CDFC8B8C0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1DCA9608-B7DD-4098-9474-20D43A00C4AB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BAD3D2D2-A787-42CA-B63C-FE533FF333E6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69F7E627-3D45-4C5B-925F-72CFB29A185A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1" name="Graphic 10" descr="Telephone outline">
            <a:extLst>
              <a:ext uri="{FF2B5EF4-FFF2-40B4-BE49-F238E27FC236}">
                <a16:creationId xmlns:a16="http://schemas.microsoft.com/office/drawing/2014/main" id="{44673557-0B72-4E07-8497-486C4848BF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2" name="Graphic 11" descr="Smart Phone outline">
            <a:extLst>
              <a:ext uri="{FF2B5EF4-FFF2-40B4-BE49-F238E27FC236}">
                <a16:creationId xmlns:a16="http://schemas.microsoft.com/office/drawing/2014/main" id="{51308386-2B4A-4412-A77F-413DF674EA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3" name="Graphic 12" descr="Printer outline">
            <a:extLst>
              <a:ext uri="{FF2B5EF4-FFF2-40B4-BE49-F238E27FC236}">
                <a16:creationId xmlns:a16="http://schemas.microsoft.com/office/drawing/2014/main" id="{EFFA5BED-A13B-48A5-88AF-ECDC37450EC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11</xdr:col>
      <xdr:colOff>5636</xdr:colOff>
      <xdr:row>7</xdr:row>
      <xdr:rowOff>88707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A083E89-4C2E-4D67-83C3-BDE6C35AC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469900</xdr:colOff>
      <xdr:row>0</xdr:row>
      <xdr:rowOff>0</xdr:rowOff>
    </xdr:from>
    <xdr:to>
      <xdr:col>11</xdr:col>
      <xdr:colOff>838200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4EDC44-416D-492F-9AFB-78784C24D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393414B-F8FE-4FF8-9C4E-1388F4FFEE16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7377B25A-B540-6767-C012-F35F87A3EBEC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44B7A7DC-6C84-9664-3A28-E793E868839A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63F5AC6B-B79E-47C3-805C-8EB2B18530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614AAB23-0956-30BD-DA9D-F62EC63C76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408CCA64-7EFA-E870-59D4-100C9A9B28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800100</xdr:colOff>
      <xdr:row>0</xdr:row>
      <xdr:rowOff>190500</xdr:rowOff>
    </xdr:from>
    <xdr:to>
      <xdr:col>10</xdr:col>
      <xdr:colOff>862886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C48A5FD-4E96-4988-B525-4C23127C2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2700" y="190500"/>
          <a:ext cx="5714286" cy="1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260350</xdr:colOff>
      <xdr:row>0</xdr:row>
      <xdr:rowOff>0</xdr:rowOff>
    </xdr:from>
    <xdr:to>
      <xdr:col>11</xdr:col>
      <xdr:colOff>628650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1FEE0AD-B7F5-4280-B605-7FA417E05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241300</xdr:colOff>
      <xdr:row>0</xdr:row>
      <xdr:rowOff>0</xdr:rowOff>
    </xdr:from>
    <xdr:to>
      <xdr:col>11</xdr:col>
      <xdr:colOff>609600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9EEB7F-A8F9-490D-8C06-11D3BC5F2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19050</xdr:rowOff>
    </xdr:from>
    <xdr:to>
      <xdr:col>11</xdr:col>
      <xdr:colOff>374650</xdr:colOff>
      <xdr:row>7</xdr:row>
      <xdr:rowOff>225202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35B3DF-8534-48FA-A147-8F4B8171C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19050"/>
          <a:ext cx="7772400" cy="1850802"/>
        </a:xfrm>
        <a:prstGeom prst="rect">
          <a:avLst/>
        </a:prstGeom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8751D81-4909-4F16-8DBF-953A90A4D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463550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525CDB-8829-497F-4E7E-E223AD2AC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A8AEB4-EBC4-5920-7A83-95FFA335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C3E29E-88EB-44D7-9041-6FAB4FAEB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0</xdr:row>
      <xdr:rowOff>0</xdr:rowOff>
    </xdr:from>
    <xdr:to>
      <xdr:col>11</xdr:col>
      <xdr:colOff>565150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B7E3AA-B05A-AB6E-2BB8-151B4A601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D9A99A-D0EF-4622-B9C4-9279F190E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3C4F8A1-2421-9A7D-24D0-E513278F3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12700</xdr:rowOff>
    </xdr:from>
    <xdr:to>
      <xdr:col>11</xdr:col>
      <xdr:colOff>482600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8F2DF9-DEE6-4DF5-9443-8E1712801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EF0BF4-DCDF-425A-B7F1-96B044EED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B85FC87-19C6-C624-CD84-07E467A4C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8CF070C-9061-0C66-C321-FCE0E4076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409230</xdr:colOff>
      <xdr:row>0</xdr:row>
      <xdr:rowOff>0</xdr:rowOff>
    </xdr:from>
    <xdr:to>
      <xdr:col>11</xdr:col>
      <xdr:colOff>476963</xdr:colOff>
      <xdr:row>7</xdr:row>
      <xdr:rowOff>220969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F79978E-F8D9-4CA5-B33F-BDDB1D1A7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530" y="0"/>
          <a:ext cx="7776633" cy="1865619"/>
        </a:xfrm>
        <a:prstGeom prst="rect">
          <a:avLst/>
        </a:prstGeom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409230</xdr:colOff>
      <xdr:row>0</xdr:row>
      <xdr:rowOff>0</xdr:rowOff>
    </xdr:from>
    <xdr:to>
      <xdr:col>11</xdr:col>
      <xdr:colOff>476963</xdr:colOff>
      <xdr:row>7</xdr:row>
      <xdr:rowOff>220969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37A6A8-B378-42C6-BB0F-4BFBDB8FE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530" y="0"/>
          <a:ext cx="7776633" cy="1865619"/>
        </a:xfrm>
        <a:prstGeom prst="rect">
          <a:avLst/>
        </a:prstGeom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673100</xdr:colOff>
      <xdr:row>0</xdr:row>
      <xdr:rowOff>0</xdr:rowOff>
    </xdr:from>
    <xdr:to>
      <xdr:col>11</xdr:col>
      <xdr:colOff>260350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C2CEF2-711D-4732-8B7A-A64641B15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455D5B0-26A9-4EA3-9CFB-91188A5E2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450850</xdr:colOff>
      <xdr:row>0</xdr:row>
      <xdr:rowOff>0</xdr:rowOff>
    </xdr:from>
    <xdr:to>
      <xdr:col>11</xdr:col>
      <xdr:colOff>412750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0427C0-E27E-107B-8AB0-52F1FB2E5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739" y="0"/>
          <a:ext cx="7772400" cy="1835985"/>
        </a:xfrm>
        <a:prstGeom prst="rect">
          <a:avLst/>
        </a:prstGeom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8521F9E-AF0D-F8A9-E04B-998F697FB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90428E0-7AF2-41F9-BB7A-1B9D1F59F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DDA09A-9920-C838-A8A0-691FD7DA4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2A0773E-01DA-5213-68CA-B6E8076F0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527050</xdr:colOff>
      <xdr:row>0</xdr:row>
      <xdr:rowOff>6350</xdr:rowOff>
    </xdr:from>
    <xdr:to>
      <xdr:col>11</xdr:col>
      <xdr:colOff>584200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3A3F1F-C015-4244-ACA8-C5B597A6C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335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03134C-B4D0-4C57-B480-DE4BEFACF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19050</xdr:rowOff>
    </xdr:from>
    <xdr:to>
      <xdr:col>11</xdr:col>
      <xdr:colOff>425450</xdr:colOff>
      <xdr:row>7</xdr:row>
      <xdr:rowOff>225202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B4D0F4-3A53-43B2-B0F9-A8269D86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19050"/>
          <a:ext cx="7772400" cy="1850802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FA4FF5-199D-4764-A066-4072F1ADB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79DC70-6532-454D-B2DC-02B897679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EDF2F8-ED79-4CC9-B67E-C11236A90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463550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1237C0-3FF2-4E2C-AAC1-F24B53B49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545E2F-5F47-413D-8FE9-CED642144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D82094-8BC5-49F0-9038-6D1BE4BF3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463550</xdr:colOff>
      <xdr:row>0</xdr:row>
      <xdr:rowOff>12700</xdr:rowOff>
    </xdr:from>
    <xdr:to>
      <xdr:col>11</xdr:col>
      <xdr:colOff>381000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4DEAC2-C4CE-4661-84DD-BDB741A7E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12700</xdr:rowOff>
    </xdr:from>
    <xdr:to>
      <xdr:col>11</xdr:col>
      <xdr:colOff>368300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C3E0A1-376B-4604-BF25-AB3150499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6E2DA4-BD4E-4C11-8A88-29EF6013F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D51D2F-5AF2-431E-832B-E676073E9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E86BF9-929A-4CFB-8660-60C8364FC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6016A9-B46B-409F-9C3A-4A5A22FFC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517ECF-5EBD-4AD3-9CA3-CC9F0DB9D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0</xdr:rowOff>
    </xdr:from>
    <xdr:to>
      <xdr:col>11</xdr:col>
      <xdr:colOff>368300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DEA6C0-A793-4C20-AD3C-6B36574BB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0477E9-93F1-4490-8952-3B89CE154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F1739F-F000-4F58-B7A7-4CBD3781D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8AD478-9183-483F-BAEA-3AF60B7B7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058D9B-39A6-4B57-89ED-81AA2ED69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C983D4-787E-4126-9E41-F3B0742D6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359389-116E-4FEF-846D-5541C88CF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99025F-ABE9-407F-8F35-31356D811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8CBEE1-C519-49B1-8BAB-6228C2481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622300</xdr:colOff>
      <xdr:row>0</xdr:row>
      <xdr:rowOff>0</xdr:rowOff>
    </xdr:from>
    <xdr:to>
      <xdr:col>11</xdr:col>
      <xdr:colOff>342900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9B8EC6-62ED-423A-BD32-F354FE1A4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0B8BA0-8622-4B22-ABCB-ACEBF98BE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A192FA-6790-4664-9092-620A9A59C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12700</xdr:rowOff>
    </xdr:from>
    <xdr:to>
      <xdr:col>11</xdr:col>
      <xdr:colOff>539750</xdr:colOff>
      <xdr:row>7</xdr:row>
      <xdr:rowOff>218852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6254FD-F962-CA18-846A-6BC4F4E93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527050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8BDEE4-3DE0-4AA9-916B-98FF479D9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8575" y="0"/>
          <a:ext cx="7770813" cy="1873027"/>
        </a:xfrm>
        <a:prstGeom prst="rect">
          <a:avLst/>
        </a:prstGeom>
      </xdr:spPr>
    </xdr:pic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527050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FE9340-5D15-492A-8825-D6573FDB6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76051D-752C-4C96-8A85-E4A6150DC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FAF4D0-74C5-4811-AC2D-92209CB6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D7CB28-FDBB-4185-803A-7FF679F56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1A6554-174A-4F59-8715-5A97662ED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520700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0E6D6F-AAD2-49A5-882C-7D457FDB9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520700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C54E30-BA27-40C3-AA78-99310EFCE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AAC3EB-ED5E-447E-9EC6-8E40EA1E9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77075E-B45C-41BD-A7E9-6D4A31149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311150</xdr:colOff>
      <xdr:row>0</xdr:row>
      <xdr:rowOff>6350</xdr:rowOff>
    </xdr:from>
    <xdr:to>
      <xdr:col>11</xdr:col>
      <xdr:colOff>431800</xdr:colOff>
      <xdr:row>7</xdr:row>
      <xdr:rowOff>212502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36839E-7955-E487-9C0F-F922919C5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1BE0614-C3DD-5627-72DF-2C170F56E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5585C4-2153-4260-991C-67043F6D2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FF78E3-47D3-4501-A87E-F4E2617C8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0E5A1F-A7C0-4750-94AD-5FB99771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8227D1-CDB5-4D9E-8302-7D42C3964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4FEC4B-4058-4633-A93F-A7717618D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501919-3E06-4EDA-AC9C-68409C36D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09B4E2-1202-44FB-9C97-26C77ECFA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CB29CD-452E-4279-82EC-440AEC8C6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45C6A1-5C5E-4EA1-810A-2C8A6808A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514350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ADDFB9-0914-46BE-8EE8-74083CEA2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292100</xdr:colOff>
      <xdr:row>0</xdr:row>
      <xdr:rowOff>0</xdr:rowOff>
    </xdr:from>
    <xdr:to>
      <xdr:col>11</xdr:col>
      <xdr:colOff>590550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DB0246-1A2F-4382-9A0F-3677F03B9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1E1179-15A4-4458-AAEE-72691CA83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444500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72C930-9F50-440D-A0B7-1491F265A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C6D429-7851-4009-A6A8-3FB50C417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EAE79E-1D99-4DBD-B177-A8F0F7C2B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459A15-0FAD-40EE-B968-9D9A85ABA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DBA1B2-2900-4780-808E-9B477AA5E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AEC78E-0A8D-4291-8B01-63E5448AE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E14815-D43B-4CD3-A90B-D09153EBD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D84D49-92D2-4074-9447-D0A3DDE2A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DCCD8C-06D8-43F2-8496-E63026B39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463550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7F8679-A107-412F-A432-FA7F9F2C6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B76F2D-F933-4256-B5E3-745507329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FCAC4D-CB0D-48D6-B90A-CBB9C55CF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DC0DD9-5F9E-4AE2-BAE5-B6CCC0959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C2E615-20DD-4241-913B-6C981B872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DB2063-AD70-4008-B4D1-F67FBB1CC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08B572-AE47-456D-A529-27E90F61F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E32044-77D8-47DD-9A24-561F57415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35FF56-9D06-482A-850B-34677ED90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5B4488-52F0-4DB9-8B62-499E04A88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6BA115-B363-4ABE-90F1-423E939F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56720F-0D4F-54A1-D06E-479A65476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C043BE-D5E8-48F1-8713-69E3E6BE6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C82F526-A387-428C-A70C-D2661349AA1E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D5A0F83E-6F9C-FD6A-9AEB-8409BF1ADFDA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654780B2-F5F9-CEA6-8C40-A85378934EDF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807A61B2-7B21-4A8D-D869-E846645886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F808374B-432C-8639-9ED0-23C8A39592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B4AB04AD-E6CB-7EAE-0F0A-94FABDBF3A4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800100</xdr:colOff>
      <xdr:row>0</xdr:row>
      <xdr:rowOff>190500</xdr:rowOff>
    </xdr:from>
    <xdr:to>
      <xdr:col>10</xdr:col>
      <xdr:colOff>862886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CFD1448-4C59-4872-A336-5A20433F5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2700" y="190500"/>
          <a:ext cx="5714286" cy="1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260350</xdr:colOff>
      <xdr:row>0</xdr:row>
      <xdr:rowOff>0</xdr:rowOff>
    </xdr:from>
    <xdr:to>
      <xdr:col>11</xdr:col>
      <xdr:colOff>628650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4C5C0E2-16CF-42A5-8345-B1B7C7078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85B9861-7D70-4E0B-9885-F6A330E00661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5E04F58E-35EB-8EED-D7E2-43A82C9AE0E1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DF4D2448-3FA4-B066-63C3-586DD9C3A56B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0AD5A544-937A-EE14-BBDE-9901E5D870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84957F0E-8660-4952-481C-4BFC15D854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9AFB84BC-2A58-B1DE-5D84-A32033CEAF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800100</xdr:colOff>
      <xdr:row>0</xdr:row>
      <xdr:rowOff>190500</xdr:rowOff>
    </xdr:from>
    <xdr:to>
      <xdr:col>10</xdr:col>
      <xdr:colOff>862886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021F81C-6EE5-4039-9A06-69185C7F1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2700" y="190500"/>
          <a:ext cx="5714286" cy="1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260350</xdr:colOff>
      <xdr:row>0</xdr:row>
      <xdr:rowOff>0</xdr:rowOff>
    </xdr:from>
    <xdr:to>
      <xdr:col>11</xdr:col>
      <xdr:colOff>628650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C7E199B-15AF-45F2-8164-5AF4A3516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BDA5F2-241A-46A8-B272-E4D7CDA77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BCDABF-CF00-45E4-8B1E-873C1AA9B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12700</xdr:rowOff>
    </xdr:from>
    <xdr:to>
      <xdr:col>11</xdr:col>
      <xdr:colOff>469900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CE01F7-0354-472A-9C95-F9E920150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12700</xdr:rowOff>
    </xdr:from>
    <xdr:to>
      <xdr:col>11</xdr:col>
      <xdr:colOff>469900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39743F-2F32-46DB-B160-0D0FF5202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12700</xdr:rowOff>
    </xdr:from>
    <xdr:to>
      <xdr:col>11</xdr:col>
      <xdr:colOff>469900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70CAB7-3F3B-42CB-96EE-F9F66C980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12700</xdr:rowOff>
    </xdr:from>
    <xdr:to>
      <xdr:col>11</xdr:col>
      <xdr:colOff>469900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804FBB-6509-4886-9B78-1391C09FC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1897415-9F5E-546C-D103-985503088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558800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901555-E3C8-C131-D9AF-A7A5B8C60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721D34-D540-7703-17B9-35A87DCAB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520700</xdr:colOff>
      <xdr:row>0</xdr:row>
      <xdr:rowOff>0</xdr:rowOff>
    </xdr:from>
    <xdr:to>
      <xdr:col>11</xdr:col>
      <xdr:colOff>431800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0E5522-B61E-4D64-BF39-C1DD506CA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0</xdr:rowOff>
    </xdr:from>
    <xdr:to>
      <xdr:col>11</xdr:col>
      <xdr:colOff>374650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8056D3-4C4B-B8D7-53F6-9C0FBFD84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12700</xdr:rowOff>
    </xdr:from>
    <xdr:to>
      <xdr:col>11</xdr:col>
      <xdr:colOff>482600</xdr:colOff>
      <xdr:row>7</xdr:row>
      <xdr:rowOff>218852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96C0CE-DFF2-834D-AA6C-C51E898F5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97B39F-9A55-FA0D-3658-01DA4E48E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799E5CBF-A3DA-4A3D-AE4D-E777C1EA2098}"/>
            </a:ext>
          </a:extLst>
        </xdr:cNvPr>
        <xdr:cNvGrpSpPr/>
      </xdr:nvGrpSpPr>
      <xdr:grpSpPr>
        <a:xfrm>
          <a:off x="2406312" y="74381"/>
          <a:ext cx="6324937" cy="1675459"/>
          <a:chOff x="1936412" y="131531"/>
          <a:chExt cx="6656021" cy="1675459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2ACAF815-88B6-4F46-8CB5-3AF87623093B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347D81A6-8C00-41D2-96BB-6777672C082E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8" name="Graphic 7" descr="Telephone outline">
            <a:extLst>
              <a:ext uri="{FF2B5EF4-FFF2-40B4-BE49-F238E27FC236}">
                <a16:creationId xmlns:a16="http://schemas.microsoft.com/office/drawing/2014/main" id="{6D2961C6-99D5-448A-854D-FF533AA66B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9" name="Graphic 8" descr="Smart Phone outline">
            <a:extLst>
              <a:ext uri="{FF2B5EF4-FFF2-40B4-BE49-F238E27FC236}">
                <a16:creationId xmlns:a16="http://schemas.microsoft.com/office/drawing/2014/main" id="{821A11DB-594A-4B9D-94A2-700FAD8381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0" name="Graphic 9" descr="Printer outline">
            <a:extLst>
              <a:ext uri="{FF2B5EF4-FFF2-40B4-BE49-F238E27FC236}">
                <a16:creationId xmlns:a16="http://schemas.microsoft.com/office/drawing/2014/main" id="{104B089B-83DB-464B-AB56-6052F00477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710486</xdr:colOff>
      <xdr:row>7</xdr:row>
      <xdr:rowOff>88707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C52EA55-87B4-4312-A1C7-DF59A2940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8AFAC32D-5818-4E0E-9878-DBA02AEAABAA}"/>
            </a:ext>
          </a:extLst>
        </xdr:cNvPr>
        <xdr:cNvGrpSpPr/>
      </xdr:nvGrpSpPr>
      <xdr:grpSpPr>
        <a:xfrm>
          <a:off x="2406312" y="74381"/>
          <a:ext cx="6337637" cy="1675459"/>
          <a:chOff x="1936412" y="131531"/>
          <a:chExt cx="6656021" cy="1675459"/>
        </a:xfrm>
      </xdr:grpSpPr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8E55AE78-9EC8-4353-BFBF-0982D3FFE60D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id="{01CD05FC-5EC8-4BDB-98C8-1117D75086E3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4" name="Graphic 13" descr="Telephone outline">
            <a:extLst>
              <a:ext uri="{FF2B5EF4-FFF2-40B4-BE49-F238E27FC236}">
                <a16:creationId xmlns:a16="http://schemas.microsoft.com/office/drawing/2014/main" id="{29233BDB-61B6-46F0-8138-C7618EDDE0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5" name="Graphic 14" descr="Smart Phone outline">
            <a:extLst>
              <a:ext uri="{FF2B5EF4-FFF2-40B4-BE49-F238E27FC236}">
                <a16:creationId xmlns:a16="http://schemas.microsoft.com/office/drawing/2014/main" id="{6E9AF965-D68E-4732-9457-845384D013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6" name="Graphic 15" descr="Printer outline">
            <a:extLst>
              <a:ext uri="{FF2B5EF4-FFF2-40B4-BE49-F238E27FC236}">
                <a16:creationId xmlns:a16="http://schemas.microsoft.com/office/drawing/2014/main" id="{4B26CF5A-4CCB-4C5D-934C-E3A45EA911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697786</xdr:colOff>
      <xdr:row>7</xdr:row>
      <xdr:rowOff>88707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D3CDDDD-2B66-46C1-96E8-9327ADE7A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11</xdr:col>
      <xdr:colOff>603250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3FE3B1-8435-42D1-A6CC-EEA7DBF5F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AE4301-E2C0-4FC6-BA00-C09AB9754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6350</xdr:rowOff>
    </xdr:from>
    <xdr:to>
      <xdr:col>11</xdr:col>
      <xdr:colOff>438150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203685-FBD4-47E0-9D89-624DFADD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292100</xdr:colOff>
      <xdr:row>0</xdr:row>
      <xdr:rowOff>0</xdr:rowOff>
    </xdr:from>
    <xdr:to>
      <xdr:col>11</xdr:col>
      <xdr:colOff>590550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BA3EA8-985F-6625-A21F-45CF8B9EB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F14E50-329B-4B3B-BFB7-1DB9FFDE4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1751D5-24EC-4963-A153-9DE12BDE8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279400</xdr:colOff>
      <xdr:row>0</xdr:row>
      <xdr:rowOff>0</xdr:rowOff>
    </xdr:from>
    <xdr:to>
      <xdr:col>11</xdr:col>
      <xdr:colOff>615950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3175B4-4D7B-D960-BA25-DCE1DB76A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241300</xdr:colOff>
      <xdr:row>0</xdr:row>
      <xdr:rowOff>0</xdr:rowOff>
    </xdr:from>
    <xdr:to>
      <xdr:col>11</xdr:col>
      <xdr:colOff>603250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5E99A8-022E-7C1D-9200-4F00EBD4B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0</xdr:row>
      <xdr:rowOff>0</xdr:rowOff>
    </xdr:from>
    <xdr:to>
      <xdr:col>11</xdr:col>
      <xdr:colOff>527050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374438-957E-F46F-0D18-424A1BBA3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10</xdr:col>
      <xdr:colOff>795867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D88BB9-0CEC-4A4B-88DA-3C0BE7D17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A16E54-2297-4D1B-82EF-6E9045126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9F5D78-1718-18B0-845E-D73B8B1CA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F218D4-877E-4100-9CCB-C287F72A2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3068FDB-B46D-478C-A985-40C15DC82534}"/>
            </a:ext>
          </a:extLst>
        </xdr:cNvPr>
        <xdr:cNvGrpSpPr/>
      </xdr:nvGrpSpPr>
      <xdr:grpSpPr>
        <a:xfrm>
          <a:off x="2406312" y="74381"/>
          <a:ext cx="646463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2A979D37-6E20-454C-92B4-4CCCF3BE5E3A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11C6DBA5-AB43-4BBF-9A5D-243C52A9D423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EBCB0482-C918-41A0-91B8-FEFD49B6651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A65143B4-C9E3-44C6-A106-E8ADE09B2A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F022E56A-5467-4DD3-B1EF-4FF628799D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570786</xdr:colOff>
      <xdr:row>7</xdr:row>
      <xdr:rowOff>63307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B0D2693-5DE1-4AC2-BE55-E9AEDFFF3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59E6F56-59DD-272C-C5D6-E7DC7416B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577850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44DC0E-66F2-E72F-6561-E0A8FF891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488950</xdr:colOff>
      <xdr:row>0</xdr:row>
      <xdr:rowOff>0</xdr:rowOff>
    </xdr:from>
    <xdr:to>
      <xdr:col>11</xdr:col>
      <xdr:colOff>387350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C7EB5A-5324-77D4-1A15-41F9536C2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95E439-69A2-4D28-9E19-DCD6BA36A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711B3F-CB8A-47B7-90DE-C664D5C58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6350</xdr:rowOff>
    </xdr:from>
    <xdr:to>
      <xdr:col>11</xdr:col>
      <xdr:colOff>374650</xdr:colOff>
      <xdr:row>7</xdr:row>
      <xdr:rowOff>212502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097BA7-DD7B-AFD4-1492-6368D757E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E1FA55-FD28-F42D-187B-43CD95DFE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0</xdr:row>
      <xdr:rowOff>0</xdr:rowOff>
    </xdr:from>
    <xdr:to>
      <xdr:col>11</xdr:col>
      <xdr:colOff>577850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9E269C-5734-E86B-4E7A-9A3290B74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0</xdr:rowOff>
    </xdr:from>
    <xdr:to>
      <xdr:col>11</xdr:col>
      <xdr:colOff>609600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8C56B2-AC1A-DF52-E2BD-DC502A1EC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6350</xdr:rowOff>
    </xdr:from>
    <xdr:to>
      <xdr:col>11</xdr:col>
      <xdr:colOff>558800</xdr:colOff>
      <xdr:row>7</xdr:row>
      <xdr:rowOff>212502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746AFF1-CA7F-49B0-85AC-16A15612B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298450</xdr:colOff>
      <xdr:row>0</xdr:row>
      <xdr:rowOff>0</xdr:rowOff>
    </xdr:from>
    <xdr:to>
      <xdr:col>11</xdr:col>
      <xdr:colOff>565150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5637583-56B8-428B-9F91-5BED4A3FA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631E44-45BB-44E9-ABBB-A65E0C64A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311150</xdr:colOff>
      <xdr:row>0</xdr:row>
      <xdr:rowOff>0</xdr:rowOff>
    </xdr:from>
    <xdr:to>
      <xdr:col>11</xdr:col>
      <xdr:colOff>577850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BD1D0E-98C9-F3AC-3C9A-56B9551C4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81A604-0BFC-4822-B2A3-B9EDF5F68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E9AAC3-C282-41C5-A92D-834AD487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B72A72-2189-4DEC-BF93-31CCDC974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12700</xdr:rowOff>
    </xdr:from>
    <xdr:to>
      <xdr:col>11</xdr:col>
      <xdr:colOff>469900</xdr:colOff>
      <xdr:row>7</xdr:row>
      <xdr:rowOff>218852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937B99-781B-D8D3-B8A2-CFD089A64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558800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11870E-EE07-454D-A41F-A7FF67A86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285750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82B883-6357-8887-621E-8BCF7CE8A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53DB089-FCDA-4A72-852E-74F72C932CAC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1715D259-230B-47B3-B55E-88C5F03E5DA8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AB774594-11E8-4E22-ACA7-A13442CE96B5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49B9C844-ADC5-4BB8-A023-D7399E4F752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6084B782-8BEF-4D5E-9254-0BC1648DC5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D3932D7F-B919-4353-8486-2D3132BC4F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780336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B44C9A9-7E9C-4626-800F-DE36CA066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6350</xdr:rowOff>
    </xdr:from>
    <xdr:to>
      <xdr:col>11</xdr:col>
      <xdr:colOff>488950</xdr:colOff>
      <xdr:row>7</xdr:row>
      <xdr:rowOff>212502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8EA754-0C51-313C-AE93-75EC65E6F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6350"/>
          <a:ext cx="7493000" cy="1850802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412750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437363-1056-FD14-8B76-96B8A3610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450850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A18A0C2-EF96-6D02-4304-B52A3B52F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  <xdr:twoCellAnchor editAs="oneCell">
    <xdr:from>
      <xdr:col>1</xdr:col>
      <xdr:colOff>565150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5FC179-C33D-40F1-8B9B-89E3F8FF7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1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BFCB4E-3FD7-4042-9150-64C189026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0</xdr:rowOff>
    </xdr:from>
    <xdr:to>
      <xdr:col>11</xdr:col>
      <xdr:colOff>590550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8C1C44-FC86-4BEE-4C62-4BCEBD4DD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FEB04C-DC3A-D5FD-D966-11B5F8311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2D0E3E4-C56D-4ECC-AC5E-ABA4820C7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0</xdr:row>
      <xdr:rowOff>0</xdr:rowOff>
    </xdr:from>
    <xdr:to>
      <xdr:col>11</xdr:col>
      <xdr:colOff>546100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57692F-7CAD-4B72-8600-18BF338F7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E19FC169-27F5-4BA6-9A9B-8192B1620CCE}"/>
            </a:ext>
          </a:extLst>
        </xdr:cNvPr>
        <xdr:cNvGrpSpPr/>
      </xdr:nvGrpSpPr>
      <xdr:grpSpPr>
        <a:xfrm>
          <a:off x="2406312" y="74381"/>
          <a:ext cx="6731337" cy="1675459"/>
          <a:chOff x="1936412" y="131531"/>
          <a:chExt cx="6656021" cy="1675459"/>
        </a:xfrm>
      </xdr:grpSpPr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7B9F5B2D-6F49-4985-9EB5-104BBBB78D4E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252618F8-25B5-403D-B300-603CD10A59F6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7" name="Graphic 16" descr="Telephone outline">
            <a:extLst>
              <a:ext uri="{FF2B5EF4-FFF2-40B4-BE49-F238E27FC236}">
                <a16:creationId xmlns:a16="http://schemas.microsoft.com/office/drawing/2014/main" id="{0BE03DBE-DF4F-45A6-9DAE-3173E5EF43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8" name="Graphic 17" descr="Smart Phone outline">
            <a:extLst>
              <a:ext uri="{FF2B5EF4-FFF2-40B4-BE49-F238E27FC236}">
                <a16:creationId xmlns:a16="http://schemas.microsoft.com/office/drawing/2014/main" id="{A0A60AFF-4A6E-4589-8B47-7D7DC40D18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9" name="Graphic 18" descr="Printer outline">
            <a:extLst>
              <a:ext uri="{FF2B5EF4-FFF2-40B4-BE49-F238E27FC236}">
                <a16:creationId xmlns:a16="http://schemas.microsoft.com/office/drawing/2014/main" id="{15A45AAD-29D1-4CEB-BAA4-DF02557362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443786</xdr:colOff>
      <xdr:row>7</xdr:row>
      <xdr:rowOff>63307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C6EDD3D-D28B-4E22-A338-58105F286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522014-E1B5-4B29-A751-B4DEDF9DB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3CE8B21-A081-48F5-99D2-54C65BB355FD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A43996EF-44D3-42A1-91FA-974ABBFFC4B0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216C9AB5-2A02-4242-B292-66287AF95C66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9CAE3360-CACB-460B-9551-04970D3EFF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61E51796-1652-4F1A-B6CD-6B4EB8B034C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6064F0F6-2504-4C01-9B28-E3DF0FE2E7E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780336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A85B76E-C1D1-44BA-A87C-EB1D3EFAD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09D0DE-D920-4E72-872E-23C21B54B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7F041C-1E47-4B52-8806-D6C20005A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1B829D-CD29-A540-577A-6AFD577B9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6350</xdr:rowOff>
    </xdr:from>
    <xdr:to>
      <xdr:col>11</xdr:col>
      <xdr:colOff>482600</xdr:colOff>
      <xdr:row>7</xdr:row>
      <xdr:rowOff>212502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9F6B920-4611-439B-AEAB-DFA527D5E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11FFA2-3426-86D0-4AA6-9A979DFB7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247650</xdr:colOff>
      <xdr:row>7</xdr:row>
      <xdr:rowOff>206152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B079751-AAC7-4043-BD9A-20061C921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5BB9CE-B845-4401-ACFA-CC0EE3ADB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74827AC-AE0E-49FE-9286-47AE9F0FC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1BC91C-7673-4A48-97C9-8C36C1C2E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3D397B-F106-4020-A374-D66096372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C6E3C9-638F-43DE-A17D-EE5958782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0</xdr:row>
      <xdr:rowOff>0</xdr:rowOff>
    </xdr:from>
    <xdr:to>
      <xdr:col>11</xdr:col>
      <xdr:colOff>311150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5F4337-12FD-40DD-96AC-6DD15616A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0</xdr:row>
      <xdr:rowOff>0</xdr:rowOff>
    </xdr:from>
    <xdr:to>
      <xdr:col>11</xdr:col>
      <xdr:colOff>311150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F0CFEB-21E3-4347-B536-BB7F7C3DB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158750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91A4E5D-C241-4D7A-A5F2-BEC33B56C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6A648C-6ED8-4F7D-B7D5-24F628DEE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973E93-F676-4C05-92E7-C906CC962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435E569-1DB6-9CBA-86C9-77AFDFEF2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558800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BBD766-0B6C-F893-4E9E-75BE76509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FC78A9-7920-4ED9-9B00-33B22AB42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56761B-60BF-4F67-AA2A-82FABB511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4AAEFD-F2E2-4A8E-A3F2-DD85E3B6E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6350</xdr:rowOff>
    </xdr:from>
    <xdr:to>
      <xdr:col>11</xdr:col>
      <xdr:colOff>482600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38B5B9-D62E-47F5-9502-3D922E3AC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7E9F0A-3F49-413B-8037-2C6EDB5AB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F8CFCE-9D52-4B4D-B252-460B84433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88C62A9-2E96-4264-916B-9874ED607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22F10786-A8E8-4D28-91FB-09AC035C8A4E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8F0BE88B-AA7C-467D-9062-6BAAF802B5D3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FD0A2AEE-DD8D-4792-A7BE-D384D4DEB2E9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7" name="Graphic 16" descr="Telephone outline">
            <a:extLst>
              <a:ext uri="{FF2B5EF4-FFF2-40B4-BE49-F238E27FC236}">
                <a16:creationId xmlns:a16="http://schemas.microsoft.com/office/drawing/2014/main" id="{A77141BD-85E5-49DD-A968-08CEFCED3F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8" name="Graphic 17" descr="Smart Phone outline">
            <a:extLst>
              <a:ext uri="{FF2B5EF4-FFF2-40B4-BE49-F238E27FC236}">
                <a16:creationId xmlns:a16="http://schemas.microsoft.com/office/drawing/2014/main" id="{4CF1A141-CF3B-4900-BA73-D19AF0615B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9" name="Graphic 18" descr="Printer outline">
            <a:extLst>
              <a:ext uri="{FF2B5EF4-FFF2-40B4-BE49-F238E27FC236}">
                <a16:creationId xmlns:a16="http://schemas.microsoft.com/office/drawing/2014/main" id="{4DAA01AF-CC14-4BC7-B2EB-F2961816453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780336</xdr:colOff>
      <xdr:row>7</xdr:row>
      <xdr:rowOff>88707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C041DE9-E665-48F5-B66E-753B32BF7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986D570-E065-4CE0-BDC7-90E82C8EC599}"/>
            </a:ext>
          </a:extLst>
        </xdr:cNvPr>
        <xdr:cNvGrpSpPr/>
      </xdr:nvGrpSpPr>
      <xdr:grpSpPr>
        <a:xfrm>
          <a:off x="1493158" y="199571"/>
          <a:ext cx="725171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970FF604-1D7F-42A1-A6FA-4E4E92592AC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A970DF1B-3FF2-4804-AD2B-72500E14C4A3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9099 1368,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BBC1C6-6314-2C66-4F03-696EA1CB1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D24370-BDCF-4F36-8834-DCFE8146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0A969A-8582-4CCE-8C3E-FD3C53084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968DBE-8D90-46B4-8200-4DA435334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0</xdr:row>
      <xdr:rowOff>0</xdr:rowOff>
    </xdr:from>
    <xdr:to>
      <xdr:col>11</xdr:col>
      <xdr:colOff>615950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E4874C-E6B5-4551-9A48-D825C868A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0"/>
          <a:ext cx="7772400" cy="18508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362d61dbaca2863d/Desktop/Copy%20of%20Invoice%20(GST)%20-%2025-11-2022%20(00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362d61dbaca2863d/Desktop/Invoice%20(GST)%20-%2025-11-2022-21DEC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essert%20Origin\Daily%20Job\Invoice%20(No%20GST%20-%20v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04-33 Picking List"/>
      <sheetName val="04-22 Lyeheng"/>
      <sheetName val="order list new"/>
      <sheetName val="好运 "/>
      <sheetName val="Delivery Location"/>
      <sheetName val="Sales Master"/>
      <sheetName val="#61"/>
      <sheetName val="#209"/>
      <sheetName val="#207"/>
      <sheetName val="#206"/>
      <sheetName val="#193"/>
      <sheetName val="#193 (2)"/>
      <sheetName val="#210"/>
      <sheetName val="#208"/>
      <sheetName val="#205"/>
      <sheetName val="#204"/>
      <sheetName val="#203"/>
      <sheetName val="#202"/>
      <sheetName val="#201"/>
      <sheetName val="#200"/>
      <sheetName val="#199"/>
      <sheetName val="#198"/>
      <sheetName val="#197"/>
      <sheetName val="#196"/>
      <sheetName val="#195"/>
      <sheetName val="#194"/>
      <sheetName val="#192"/>
      <sheetName val="#191"/>
      <sheetName val="#190"/>
      <sheetName val="#189"/>
      <sheetName val="#188"/>
      <sheetName val="#187"/>
      <sheetName val="#21"/>
      <sheetName val="#64"/>
      <sheetName val="#64 (2)"/>
      <sheetName val="#94"/>
      <sheetName val="#34"/>
      <sheetName val="#90"/>
      <sheetName val="#90 (2)"/>
      <sheetName val="SAMPLE"/>
      <sheetName val="#185"/>
      <sheetName val="#184"/>
      <sheetName val="#183"/>
      <sheetName val="#172"/>
      <sheetName val="#170"/>
      <sheetName val="#176"/>
      <sheetName val="#182"/>
      <sheetName val="#153"/>
      <sheetName val="#86"/>
      <sheetName val="#171"/>
      <sheetName val="#181"/>
      <sheetName val="#181 (2)"/>
      <sheetName val="#180"/>
      <sheetName val="#179"/>
      <sheetName val="#179 (2)"/>
      <sheetName val="#88"/>
      <sheetName val="#88 (2)"/>
      <sheetName val="#85"/>
      <sheetName val="#84"/>
      <sheetName val="#173"/>
      <sheetName val="#174"/>
      <sheetName val="#166"/>
      <sheetName val="#167"/>
      <sheetName val="#168"/>
      <sheetName val="#175"/>
      <sheetName val="#178"/>
      <sheetName val="#164"/>
      <sheetName val="#80"/>
      <sheetName val="#80 (2)"/>
      <sheetName val="#169"/>
      <sheetName val="#04"/>
      <sheetName val="#02"/>
      <sheetName val="#03"/>
      <sheetName val="#163"/>
      <sheetName val="#162"/>
      <sheetName val="#161"/>
      <sheetName val="#165"/>
      <sheetName val="#58"/>
      <sheetName val="#08"/>
      <sheetName val="#25"/>
      <sheetName val="#71"/>
      <sheetName val="#18"/>
      <sheetName val="#157"/>
      <sheetName val="#157 (2)"/>
      <sheetName val="#145"/>
      <sheetName val="#152"/>
      <sheetName val="#154"/>
      <sheetName val="#155"/>
      <sheetName val="#159"/>
      <sheetName val="#52"/>
      <sheetName val="#10"/>
      <sheetName val="#78"/>
      <sheetName val="#78 (2)"/>
      <sheetName val="#78 (3)"/>
      <sheetName val="#148"/>
      <sheetName val="#13"/>
      <sheetName val="#101"/>
      <sheetName val="#26"/>
      <sheetName val="#33"/>
      <sheetName val="#33 (2)"/>
      <sheetName val="#50"/>
      <sheetName val="#50 (3)"/>
      <sheetName val="#89"/>
      <sheetName val="#89 (2)"/>
      <sheetName val="#135"/>
      <sheetName val="#63"/>
      <sheetName val="#63 (2)"/>
      <sheetName val="#47"/>
      <sheetName val="#42"/>
      <sheetName val="#45"/>
      <sheetName val="#69"/>
      <sheetName val="#69 (2)"/>
      <sheetName val="#93"/>
      <sheetName val="#93 (2)"/>
      <sheetName val="#24"/>
      <sheetName val="#74"/>
      <sheetName val="#75"/>
      <sheetName val="#150"/>
      <sheetName val="#81"/>
      <sheetName val="#133"/>
      <sheetName val="#44"/>
      <sheetName val="#91"/>
      <sheetName val="#27"/>
      <sheetName val="#15"/>
      <sheetName val="#16"/>
      <sheetName val="#17"/>
      <sheetName val="#48"/>
      <sheetName val="#49"/>
      <sheetName val="#36"/>
      <sheetName val="#56"/>
      <sheetName val="#56 (2)"/>
      <sheetName val="#55"/>
      <sheetName val="#54"/>
      <sheetName val="#92"/>
      <sheetName val="#79"/>
      <sheetName val="#79 (2)"/>
      <sheetName val="#186"/>
      <sheetName val="#66"/>
      <sheetName val="#28"/>
      <sheetName val="#29"/>
      <sheetName val="#129"/>
      <sheetName val="#105"/>
      <sheetName val="#67"/>
      <sheetName val="#20"/>
      <sheetName val="#65"/>
      <sheetName val="#124"/>
      <sheetName val="#121"/>
      <sheetName val="#41"/>
      <sheetName val="#40"/>
      <sheetName val="#68"/>
      <sheetName val="#59"/>
      <sheetName val="#128"/>
      <sheetName val="#95"/>
      <sheetName val="#130"/>
      <sheetName val="#131"/>
      <sheetName val="#39"/>
      <sheetName val="#114"/>
      <sheetName val="#158"/>
      <sheetName val="#160"/>
      <sheetName val="#126"/>
      <sheetName val="#151"/>
      <sheetName val="#156"/>
      <sheetName val="#123"/>
      <sheetName val="#09"/>
      <sheetName val="#149"/>
      <sheetName val="#144"/>
      <sheetName val="#142"/>
      <sheetName val="#43"/>
      <sheetName val="#46"/>
      <sheetName val="#138"/>
      <sheetName val="#137"/>
      <sheetName val="#139"/>
      <sheetName val="#140"/>
      <sheetName val="#141"/>
      <sheetName val="#143"/>
      <sheetName val="#111"/>
      <sheetName val="#51"/>
      <sheetName val="#122"/>
      <sheetName val="#31"/>
      <sheetName val="#115"/>
      <sheetName val="#32"/>
      <sheetName val="#53"/>
      <sheetName val="#97"/>
      <sheetName val="#110"/>
      <sheetName val="#116"/>
      <sheetName val="#30"/>
      <sheetName val="#57"/>
      <sheetName val="#109"/>
      <sheetName val="#132"/>
      <sheetName val="#01"/>
      <sheetName val="#11"/>
      <sheetName val="#76"/>
      <sheetName val="#77"/>
      <sheetName val="#102"/>
      <sheetName val="#127"/>
      <sheetName val="#134"/>
      <sheetName val="#05"/>
      <sheetName val="#72"/>
      <sheetName val="#96"/>
      <sheetName val="#73"/>
      <sheetName val="#103"/>
      <sheetName val="#136"/>
      <sheetName val="#60"/>
      <sheetName val="#99"/>
      <sheetName val="#113"/>
      <sheetName val="STAFF"/>
      <sheetName val="#06"/>
      <sheetName val="#07"/>
      <sheetName val="#12"/>
      <sheetName val="#14"/>
      <sheetName val="#19"/>
      <sheetName val="#22"/>
      <sheetName val="#35"/>
      <sheetName val="#37"/>
      <sheetName val="#38"/>
      <sheetName val="#62"/>
      <sheetName val="#70"/>
      <sheetName val="#87"/>
      <sheetName val="#100"/>
      <sheetName val="#104"/>
      <sheetName val="#118"/>
      <sheetName val="#106"/>
      <sheetName val="#107"/>
      <sheetName val="#112"/>
      <sheetName val="#119"/>
      <sheetName val="#120"/>
      <sheetName val="#125"/>
      <sheetName val="#146"/>
      <sheetName val="#147"/>
      <sheetName val="sEFONG"/>
      <sheetName val="Ally"/>
      <sheetName val="BLK 248"/>
      <sheetName val="Yuan Yuan"/>
      <sheetName val="NY LIST"/>
      <sheetName val="City Energy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A4" t="str">
            <v>ID#01</v>
          </cell>
          <cell r="B4" t="str">
            <v>Koufu Rasapura Masters                            2, Bayfront Avenue #B2-49A/50A Singapore 018972                              (Dim Dum)</v>
          </cell>
        </row>
        <row r="5">
          <cell r="A5" t="str">
            <v>ID#02</v>
          </cell>
          <cell r="B5" t="str">
            <v>Koufu Rasapura Masters                    2, Bayfront Avenue #B2-49A/50A Singapore 018972                               (Fruit)</v>
          </cell>
        </row>
        <row r="6">
          <cell r="A6" t="str">
            <v>ID#03</v>
          </cell>
          <cell r="B6" t="str">
            <v>Koufu Rasapura Masters                    2, Bayfront Avenue #B2-49A/50A Singapore 018972                               (Drink)</v>
          </cell>
        </row>
        <row r="7">
          <cell r="A7" t="str">
            <v>ID#04</v>
          </cell>
          <cell r="B7" t="str">
            <v>Koufu Rasapura Masters                          2, Bayfront Avenue #B2-49A/50A Singapore 018972                              (Dessert)</v>
          </cell>
        </row>
        <row r="8">
          <cell r="A8" t="str">
            <v>ID#05</v>
          </cell>
          <cell r="B8" t="str">
            <v>IR, Singapore Pool Stall                  2 Bayfront Avenue. #01-01  Singapore 018972</v>
          </cell>
        </row>
        <row r="9">
          <cell r="A9" t="str">
            <v>ID#06</v>
          </cell>
          <cell r="B9" t="str">
            <v xml:space="preserve">Koufu - (Drink)                                             6, Raffles Boulevard #04-101/102 Marina Square Singapore 039594                 </v>
          </cell>
        </row>
        <row r="10">
          <cell r="A10" t="str">
            <v>ID#07</v>
          </cell>
          <cell r="B10" t="str">
            <v xml:space="preserve">Koufu - (Dessert)                                         6, Raffles Boulevard #04-101/102 Marina Square Singapore 039594              </v>
          </cell>
        </row>
        <row r="11">
          <cell r="A11" t="str">
            <v>ID#08</v>
          </cell>
          <cell r="B11" t="str">
            <v>甜甜                                                                         Tiong Bahru Market. 30 Seng Poh Road #02-15. Singapore 168898</v>
          </cell>
        </row>
        <row r="12">
          <cell r="A12" t="str">
            <v>ID#09</v>
          </cell>
          <cell r="B12" t="str">
            <v>Drink &amp; Dessert Stall                                  Bugis Stall #16. 200 Victoria Street     #03-30. Bugis Junction. Singapore 188021</v>
          </cell>
        </row>
        <row r="13">
          <cell r="A13" t="str">
            <v>ID#10</v>
          </cell>
          <cell r="B13" t="str">
            <v>Drink &amp; Dessert Stall                                  252 North Bridge Road.                           #03-15/16/17 Raffles City Shopping Centre.  Singapore 189768.</v>
          </cell>
        </row>
        <row r="14">
          <cell r="A14" t="str">
            <v>ID#11</v>
          </cell>
          <cell r="B14" t="str">
            <v>Toast Junction                                       252 North Bridge Road.                                   #03-15/16/17 Raffles City Shopping Centre.                          Singapore 189768.</v>
          </cell>
        </row>
        <row r="15">
          <cell r="A15" t="str">
            <v>ID#12</v>
          </cell>
          <cell r="B15" t="str">
            <v xml:space="preserve">JNS 111 Food                                               Cuppage Plaza #B1-19/20. Singapore 228796 </v>
          </cell>
        </row>
        <row r="16">
          <cell r="A16" t="str">
            <v>id#13</v>
          </cell>
          <cell r="B16" t="str">
            <v>Combined Stalls                                              1 Kim Seng Promenade #03-116. Great World City Singapore 237994</v>
          </cell>
        </row>
        <row r="17">
          <cell r="A17" t="str">
            <v>ID#14</v>
          </cell>
          <cell r="B17" t="str">
            <v>JNS 111 Food                                               River Vally Point #01-11 Singapore 248371.</v>
          </cell>
        </row>
        <row r="18">
          <cell r="A18" t="str">
            <v>ID#15</v>
          </cell>
          <cell r="B18" t="str">
            <v xml:space="preserve">Koufu - Dim Sum                                     10, Sinaran Drive #04-14 to 19,56 to 73. Novena Square 2 Singapore 307506                                             </v>
          </cell>
        </row>
        <row r="19">
          <cell r="A19" t="str">
            <v>ID#16</v>
          </cell>
          <cell r="B19" t="str">
            <v xml:space="preserve">Koufu - Drink                                           10, Sinaran Drive #04-14 to 19,56 to 73. Novena Square 2  Singapore 307506                                       </v>
          </cell>
        </row>
        <row r="20">
          <cell r="A20" t="str">
            <v>ID#17</v>
          </cell>
          <cell r="B20" t="str">
            <v xml:space="preserve">Fork &amp; Spoon - Dessert                             10, Sinaran Drive #04-14 to 19,56 to 73. Novena Square 2 Singapore 307506                                            </v>
          </cell>
        </row>
        <row r="21">
          <cell r="A21" t="str">
            <v>ID#18</v>
          </cell>
          <cell r="B21" t="str">
            <v>Drink &amp; Dessert Stall/                          United Square Stall #07.                                          101 Thomson Road United Square #b1-02/57/59  Singapore 307591</v>
          </cell>
        </row>
        <row r="22">
          <cell r="A22" t="str">
            <v>ID#19</v>
          </cell>
          <cell r="B22" t="str">
            <v>Toast Junction                                         United Square Stall #07.                                       101 Thomson Road United Square. Singapore 307591</v>
          </cell>
        </row>
        <row r="23">
          <cell r="A23" t="str">
            <v>ID#20</v>
          </cell>
          <cell r="B23" t="str">
            <v>S111 Pte Ltd                                             26A, Kallang Place. Singapore 339212</v>
          </cell>
        </row>
        <row r="24">
          <cell r="A24" t="str">
            <v>ID#21</v>
          </cell>
          <cell r="B24" t="str">
            <v>Balestier Market Pte Ltd                       411, Balestier Road.                         Singapore 329930                                                (Drink Stall)</v>
          </cell>
        </row>
        <row r="25">
          <cell r="A25" t="str">
            <v>ID#22</v>
          </cell>
          <cell r="B25" t="str">
            <v>Ally McBean's Food Supply                       Block 115 Aljunied Ave 2 #01-53B Singapore 380115</v>
          </cell>
        </row>
        <row r="26">
          <cell r="A26" t="str">
            <v>ID#23</v>
          </cell>
          <cell r="B26" t="str">
            <v>Yu Kee Collective Pte Ltd                               32, Woodlands Terrace, Singapore 738452.</v>
          </cell>
        </row>
        <row r="27">
          <cell r="A27" t="str">
            <v>ID#24</v>
          </cell>
          <cell r="B27" t="str">
            <v>Dessert Station                                         270 Queen Street #01-41 Albert Centre. Singapore</v>
          </cell>
        </row>
        <row r="28">
          <cell r="A28" t="str">
            <v>ID#25</v>
          </cell>
          <cell r="B28" t="str">
            <v>甜甜                                                            Blk 28  Jalan Klinik  #09-43 Singapore  160028</v>
          </cell>
        </row>
        <row r="29">
          <cell r="A29" t="str">
            <v>ID#26</v>
          </cell>
          <cell r="B29" t="str">
            <v>Combined Stalls                                          No 1 Harbourfont Centre, Maritime Centre #03-01/04 Singapore 099253</v>
          </cell>
        </row>
        <row r="30">
          <cell r="A30" t="str">
            <v>ID#27</v>
          </cell>
          <cell r="B30" t="str">
            <v>Dessert First Pte Ltd                                   37, #01-407 Jalan Rummah Tinggi Singapore 150037</v>
          </cell>
        </row>
        <row r="31">
          <cell r="A31" t="str">
            <v>ID#28</v>
          </cell>
          <cell r="B31" t="str">
            <v xml:space="preserve">Koufu - Dim Sum                                                     Block 500, Toa Payoh Centre. Lorong 6     #02-30  Singapore 310500                                                                </v>
          </cell>
        </row>
        <row r="32">
          <cell r="A32" t="str">
            <v>ID#29</v>
          </cell>
          <cell r="B32" t="str">
            <v xml:space="preserve">Koufu- Dessert                                                         Block 500, Toa Payoh Centre. Lorong 6     #02-30   Singapore 310500                                         </v>
          </cell>
        </row>
        <row r="33">
          <cell r="A33" t="str">
            <v>ID#30</v>
          </cell>
          <cell r="B33" t="str">
            <v>Tea Tree Café Pte Ltd                               Block 4012, Ang Mo Kio Ave 10         #01-05 TechPlace 1 Singapore 569628</v>
          </cell>
        </row>
        <row r="34">
          <cell r="A34" t="str">
            <v>ID#31</v>
          </cell>
          <cell r="B34" t="str">
            <v xml:space="preserve">Koufu - (Dim sum)                                 180, Ang Mo Kio Ave 8. Block A unit 235 Nanyang Polythenic Singapore 569830                                    </v>
          </cell>
        </row>
        <row r="35">
          <cell r="A35" t="str">
            <v>ID#32</v>
          </cell>
          <cell r="B35" t="str">
            <v xml:space="preserve">Koufu - (Dessert)                                     180, Ang Mo Kio Ave 8. Block A unit 235 Nanyang Polythenic Singapore 569830                                      </v>
          </cell>
        </row>
        <row r="36">
          <cell r="A36" t="str">
            <v>id#33</v>
          </cell>
          <cell r="B36" t="str">
            <v>Combined Stalls                                    Junction 8. 9 Bishan Place                            #04-01. Junction 8 Shopping Centre. Singapore 579837</v>
          </cell>
        </row>
        <row r="37">
          <cell r="A37" t="str">
            <v>ID#34</v>
          </cell>
          <cell r="B37" t="str">
            <v>RED LANTERN RESTAURANT PTE LTD                  249 Sembawang Road   Singapore 758352</v>
          </cell>
        </row>
        <row r="38">
          <cell r="A38" t="str">
            <v>ID#35</v>
          </cell>
          <cell r="B38" t="str">
            <v>Fusionoplis one.                                           1 Fusionopolis Way Basement 2 #B2-02 Singapore 138632                                   (Fruit)</v>
          </cell>
        </row>
        <row r="39">
          <cell r="A39" t="str">
            <v>ID#36</v>
          </cell>
          <cell r="B39" t="str">
            <v>Fusionoplis one                                            1 Fusionopolis Way Basement 2    #B2-02 Singapore 138632                                    (Dessert)</v>
          </cell>
        </row>
        <row r="40">
          <cell r="A40" t="str">
            <v>ID#37</v>
          </cell>
          <cell r="B40" t="str">
            <v>Koufu - Fruit                                             370 Alexandra Road #01-20/21 Anchor Point Shopping Ctr Singapore 159953                      (Fruit)</v>
          </cell>
        </row>
        <row r="41">
          <cell r="A41" t="str">
            <v>ID#38</v>
          </cell>
          <cell r="B41" t="str">
            <v xml:space="preserve">Koufu - Dessert                                        370 Alexandra Road #01-20/21 Anchor Point Shopping Ctr Singapore 159953                      </v>
          </cell>
        </row>
        <row r="42">
          <cell r="A42" t="str">
            <v>ID#39</v>
          </cell>
          <cell r="B42" t="str">
            <v xml:space="preserve">Koufu - Fruit                                            535 Clementi Road Block 51, Level 2 Ngee Ann Polythenic NIC Singapore 599489                    </v>
          </cell>
        </row>
        <row r="43">
          <cell r="A43" t="str">
            <v>ID#40</v>
          </cell>
          <cell r="B43" t="str">
            <v xml:space="preserve">Koufu - Dim Sum                                    535 Clementi Road Block 51, Level 2 Ngee Ann Polythenic NIC Singapore 599489                    </v>
          </cell>
        </row>
        <row r="44">
          <cell r="A44" t="str">
            <v>ID#41</v>
          </cell>
          <cell r="B44" t="str">
            <v xml:space="preserve">Koufu - Dessert                                      535 Clementi Road Block 51, Level 2 Ngee Ann Polythenic NIC Singapore 599489                  </v>
          </cell>
        </row>
        <row r="45">
          <cell r="A45" t="str">
            <v>ID#42</v>
          </cell>
          <cell r="B45" t="str">
            <v>Jem Cook House                                           50, Jurong Gateway Road #05-01 JEMS Singapore 608549                                         (Fruit)</v>
          </cell>
        </row>
        <row r="46">
          <cell r="A46" t="str">
            <v>ID#43</v>
          </cell>
          <cell r="B46" t="str">
            <v>Jem cook House                                            50, Jurong Gateway Road #05-01 JEMS Singapore 608549                                         (Dim Sum)</v>
          </cell>
        </row>
        <row r="47">
          <cell r="A47" t="str">
            <v>ID#44</v>
          </cell>
          <cell r="B47" t="str">
            <v>Jem cook House                                                  50, Jurong Gateway Road #05-01 JEMS Singapore 608549                                          (Dessert)</v>
          </cell>
        </row>
        <row r="48">
          <cell r="A48" t="str">
            <v>ID#45</v>
          </cell>
          <cell r="B48" t="str">
            <v>Happy Hawker                                                   Block 132 Jurong East  #01-271      Singapore 600132                                               (Dessert)</v>
          </cell>
        </row>
        <row r="49">
          <cell r="A49" t="str">
            <v>ID#46</v>
          </cell>
          <cell r="B49" t="str">
            <v>1983 - A TASTE OF NANYANG                         9, WOODLANDS AVENUE 9.                       SOUTH FOOD COURT LEVER 2                SINGAPORE 738964</v>
          </cell>
        </row>
        <row r="50">
          <cell r="A50" t="str">
            <v>ID#47</v>
          </cell>
          <cell r="B50" t="str">
            <v xml:space="preserve">Koufu - Dessert                                        632, Bukit Batok Central #01-132 Singapore 650632                                                </v>
          </cell>
        </row>
        <row r="51">
          <cell r="A51" t="str">
            <v>ID#48</v>
          </cell>
          <cell r="B51" t="str">
            <v xml:space="preserve">Koufu - Drink                                                  1, Bukit Batok Central Link.                   #04-01 West Mall, Singapore 658713                                                            </v>
          </cell>
        </row>
        <row r="52">
          <cell r="A52" t="str">
            <v>ID#49</v>
          </cell>
          <cell r="B52" t="str">
            <v xml:space="preserve">Koufu - Dessert                                             1, Bukit Batok Central Link.                     #04-01 West Mall, Singapore 658713                                                          </v>
          </cell>
        </row>
        <row r="53">
          <cell r="A53" t="str">
            <v>ID#50</v>
          </cell>
          <cell r="B53" t="str">
            <v>Drink &amp; Dessert Stall                                 CCK Lots1 Stall #15.                                   21 Choa Chu Kang Ave 4, #04-15.               Lot One Shoppers Mall. Singapore 689812</v>
          </cell>
        </row>
        <row r="54">
          <cell r="A54" t="str">
            <v>ID#51</v>
          </cell>
          <cell r="B54" t="str">
            <v>Rasa Rasa Food Fiesta Restaurant  LLP       Block 160A, Jln Teck Whye         #01-01 Singapore 691160</v>
          </cell>
        </row>
        <row r="55">
          <cell r="A55" t="str">
            <v>ID#52</v>
          </cell>
          <cell r="B55" t="str">
            <v>NEW TRENDS                                                  Stall :  Blk 75, Toa Payoh 5, Food Centre #01-23, Singapore 310075</v>
          </cell>
        </row>
        <row r="56">
          <cell r="A56" t="str">
            <v>ID#53</v>
          </cell>
          <cell r="B56" t="str">
            <v xml:space="preserve">Koufu - Fruit                                                  Block 768 Woodlands Ave 6                 #01-30/31 Singapore 730768                        </v>
          </cell>
        </row>
        <row r="57">
          <cell r="A57" t="str">
            <v>ID#54</v>
          </cell>
          <cell r="B57" t="str">
            <v xml:space="preserve">Koufu - Drink                                                 Block 768 Woodlands Ave 6                     #01-30/31 Singapore 730768                         </v>
          </cell>
        </row>
        <row r="58">
          <cell r="A58" t="str">
            <v>ID#55</v>
          </cell>
          <cell r="B58" t="str">
            <v xml:space="preserve">Koufu - Dim Sum                                           Block 768 Woodlands Ave 6                 #01-30/31 Singapore 730768                          </v>
          </cell>
        </row>
        <row r="59">
          <cell r="A59" t="str">
            <v>ID#56</v>
          </cell>
          <cell r="B59" t="str">
            <v>Fork &amp; Spoon                                               Block 768 Woodlands Ave 6 #01-30/31 Singapore 730768                                         (Dessert)</v>
          </cell>
        </row>
        <row r="60">
          <cell r="A60" t="str">
            <v>ID#57</v>
          </cell>
          <cell r="B60" t="str">
            <v>Xi Yue Yuan Pte Ltd                                  Pionner Central, 1 Soon Lee Street #01-32 Singapore 627605</v>
          </cell>
        </row>
        <row r="61">
          <cell r="A61" t="str">
            <v>ID#58</v>
          </cell>
          <cell r="B61" t="str">
            <v xml:space="preserve">Spectrum Food Centre Pte Ltd               No.2 Woodlands Sector 1. #01-28  Woodlands Spectrum 1. Singapore 738068              </v>
          </cell>
        </row>
        <row r="62">
          <cell r="A62" t="str">
            <v>ID#59</v>
          </cell>
          <cell r="B62" t="str">
            <v>Tan Soon Mui Food Industries                       8, Woodlands Terrace. Singapore 738433.</v>
          </cell>
        </row>
        <row r="63">
          <cell r="A63" t="str">
            <v>ID#60</v>
          </cell>
          <cell r="B63" t="str">
            <v>Rasa Rasa Catering Services Pte Ltd    8A, Admiralty Street Food Exchange #04-08.                             Singapore 757437.</v>
          </cell>
        </row>
        <row r="64">
          <cell r="A64" t="str">
            <v>ID#61</v>
          </cell>
          <cell r="B64" t="str">
            <v>Ronnie Kitchen Pte Ltd                            8A, Admiralty Street Food Exchange      #06-07. Singapore 757437.</v>
          </cell>
        </row>
        <row r="65">
          <cell r="A65" t="str">
            <v>ID#62</v>
          </cell>
          <cell r="B65" t="str">
            <v>Wee Kee Catering Pte Ltd                       8A, Admiralty Street Food Exchange     #03-07. Singapore 757437.</v>
          </cell>
        </row>
        <row r="66">
          <cell r="A66" t="str">
            <v>ID#63</v>
          </cell>
          <cell r="B66" t="str">
            <v xml:space="preserve">Zhu Fang Ruo                                                11 Canberra Road #01-05. Singapore 759775.              </v>
          </cell>
        </row>
        <row r="67">
          <cell r="A67" t="str">
            <v>ID#64</v>
          </cell>
          <cell r="B67" t="str">
            <v xml:space="preserve">Balestier Market Pte Ltd                      411, Balestier Road.                          Singapore 329930                                      (Dessert Stall) </v>
          </cell>
        </row>
        <row r="68">
          <cell r="A68" t="str">
            <v>ID#65</v>
          </cell>
          <cell r="B68" t="str">
            <v>Yew Kee Collective Pte Ltd                               Kw Café, My Kampung. Kallang Wave Mall #02-16/K6. Singapore 397628</v>
          </cell>
        </row>
        <row r="69">
          <cell r="A69" t="str">
            <v>ID#66</v>
          </cell>
          <cell r="B69" t="str">
            <v>Dessert Station                                        52 Hougang St 11.                         CENTRAL VIEW TOWER 2               #13-07. Singapore 538750</v>
          </cell>
        </row>
        <row r="70">
          <cell r="A70" t="str">
            <v>ID#67</v>
          </cell>
          <cell r="B70" t="str">
            <v>梅林                                                             Changi Village Hawker Centre.                                         #01-57  Singapore 500002</v>
          </cell>
        </row>
        <row r="71">
          <cell r="A71" t="str">
            <v>ID#68</v>
          </cell>
          <cell r="B71" t="str">
            <v>梅林                                                             Block 425, #06-409 Tampines Street 41, Singapore 520425</v>
          </cell>
        </row>
        <row r="72">
          <cell r="A72" t="str">
            <v>ID#69</v>
          </cell>
          <cell r="B72" t="str">
            <v>滨海甜品                                                      Blk 248, Simei St 5. Singapore 520120</v>
          </cell>
        </row>
        <row r="73">
          <cell r="A73" t="str">
            <v>ID#70</v>
          </cell>
          <cell r="B73" t="str">
            <v>CHENDOL                                                          Blk 84, Marine Parade #01-09</v>
          </cell>
        </row>
        <row r="74">
          <cell r="A74" t="str">
            <v>ID#71</v>
          </cell>
          <cell r="B74" t="str">
            <v>S111 Pte Ltd                                              No 39, Greenwich Drive. #01-12  Blk 8, Tampines Logistics Hub  Singapore 533863.</v>
          </cell>
        </row>
        <row r="75">
          <cell r="A75" t="str">
            <v>ID#72</v>
          </cell>
          <cell r="B75" t="str">
            <v>S111 Beverage Pte Ltd                            No 61, Tai Seng Ave. Singapore 534167</v>
          </cell>
        </row>
        <row r="76">
          <cell r="A76" t="str">
            <v>ID#73</v>
          </cell>
          <cell r="B76" t="str">
            <v xml:space="preserve">Koufu - Dim Sum                                     Block 118 Rivervale Drive,                  #02-15/16 Rivervale Plaza     Singapore 540118                              </v>
          </cell>
        </row>
        <row r="77">
          <cell r="A77" t="str">
            <v>ID#74</v>
          </cell>
          <cell r="B77" t="str">
            <v xml:space="preserve">Koufu - Drink                                         Sengkang General Community Hospital. 1 Anchorvale Street #01-21 S'pore 544835                                                                     </v>
          </cell>
        </row>
        <row r="78">
          <cell r="A78" t="str">
            <v>ID#75</v>
          </cell>
          <cell r="B78" t="str">
            <v xml:space="preserve">Koufu - Dessert                                    Sengkang General Community Hospital. 1 Anchorvale Street #01-21 S'pore 544835                                                                   </v>
          </cell>
        </row>
        <row r="79">
          <cell r="A79" t="str">
            <v>ID#76</v>
          </cell>
          <cell r="B79" t="str">
            <v xml:space="preserve">Koufu - Dim Sum                                   Sengkang General Community Hospital. 1 Anchorvale Street #01-21 S'pore 544835                                                           </v>
          </cell>
        </row>
        <row r="80">
          <cell r="A80" t="str">
            <v>ID#77</v>
          </cell>
          <cell r="B80" t="str">
            <v>Toast Junction                                         NEX Stall #MR3, 23 Serangoon Central #04-16. Nex Shopping Mall. Singapore 556083</v>
          </cell>
        </row>
        <row r="81">
          <cell r="A81" t="str">
            <v>ID#78</v>
          </cell>
          <cell r="B81" t="str">
            <v>Juice Stall                                                    Jewel Changi Airport. Five Spice, Stall #01. 78, Airport Boulevard. #B2-238/239/240. (819666)</v>
          </cell>
        </row>
        <row r="82">
          <cell r="A82" t="str">
            <v>ID#79</v>
          </cell>
          <cell r="B82" t="str">
            <v xml:space="preserve"> Punggol OASIS (Gourmet Paradise)      681 Punggol Drive #04-01               OASIS Terraces, Singapore 820681</v>
          </cell>
        </row>
        <row r="83">
          <cell r="A83" t="str">
            <v>ID#80</v>
          </cell>
          <cell r="B83" t="str">
            <v xml:space="preserve">Koufu - Dessert                                              Block 168 Punggol Field #01-01      Punggol Plaza Singapore 820168               </v>
          </cell>
        </row>
        <row r="84">
          <cell r="A84" t="str">
            <v>ID#81</v>
          </cell>
          <cell r="B84" t="str">
            <v>WaterWay Point                                            83 Punggol Central #02-20/21 Singapore 828761                               (Dessert)</v>
          </cell>
        </row>
        <row r="85">
          <cell r="A85" t="str">
            <v>ID#82</v>
          </cell>
          <cell r="B85" t="str">
            <v xml:space="preserve">Koufu - Drink                                            Block 747 Yishun 72. #01-108 Singapore 760747                                                            </v>
          </cell>
        </row>
        <row r="86">
          <cell r="A86" t="str">
            <v>ID#83</v>
          </cell>
          <cell r="B86" t="str">
            <v xml:space="preserve">Koufu - Dim Sum                                    Block 747 Yishun 72. #01-108 Singapore 760747                                                          </v>
          </cell>
        </row>
        <row r="87">
          <cell r="A87" t="str">
            <v>ID#84</v>
          </cell>
          <cell r="B87" t="str">
            <v xml:space="preserve">ECREATIVE CATERING PTE LTD             Blk 15, Woodlands Loop                      #04-33   Singapore 738322                                    </v>
          </cell>
        </row>
        <row r="88">
          <cell r="A88" t="str">
            <v>ID#85</v>
          </cell>
          <cell r="B88" t="str">
            <v>Block 15, Woodlands Loop                #04-36. Singapore 738322.</v>
          </cell>
        </row>
        <row r="89">
          <cell r="A89" t="str">
            <v>ID#86</v>
          </cell>
          <cell r="B89" t="str">
            <v xml:space="preserve">KOPITIAM INVESTMENT PTE LTD                      Block 15, Woodlands Loop.                #01-28, Singapore   738322.           </v>
          </cell>
        </row>
        <row r="90">
          <cell r="A90" t="str">
            <v>ID#87</v>
          </cell>
          <cell r="B90" t="str">
            <v>Dessert Delight                                          Blk 162, Tampines Street #05-239 Singapore 521162</v>
          </cell>
        </row>
        <row r="91">
          <cell r="A91" t="str">
            <v>ID#88</v>
          </cell>
          <cell r="B91" t="str">
            <v>DRINK &amp; DESSERT STALL                                                     Nex 23 Serangoon Central                                   #04-16. Nex Shopping Mall. Singapore 556083</v>
          </cell>
        </row>
        <row r="92">
          <cell r="A92" t="str">
            <v>ID#89</v>
          </cell>
          <cell r="B92" t="str">
            <v>COMBINED STALL/CENTURY SQUARE STALL #01                                                          2,  Tampines Central 5, #03-20 Century Square</v>
          </cell>
        </row>
        <row r="93">
          <cell r="A93" t="str">
            <v>ID#90</v>
          </cell>
          <cell r="B93" t="str">
            <v>Tong Shui Desserts                                     101, Upper Cross Street #02-49.                   People's Park Centre, Singapore 058357</v>
          </cell>
        </row>
        <row r="94">
          <cell r="A94" t="str">
            <v>ID#91</v>
          </cell>
          <cell r="B94" t="str">
            <v>Soon Soon Soon Wenton Noodles                           1 Pasir Ris Down Town East                      EHUB #02-109  Singapore 519599</v>
          </cell>
        </row>
        <row r="95">
          <cell r="A95" t="str">
            <v>ID#92</v>
          </cell>
          <cell r="B95" t="str">
            <v>小福                                                            SPH. 1000 Toa Payoh North. #07 Singapore 318994</v>
          </cell>
        </row>
        <row r="96">
          <cell r="A96" t="str">
            <v>ID#93</v>
          </cell>
          <cell r="B96" t="str">
            <v>K&amp;B                                                                  Blk 15, Woodland Loop.                           #03-10 Singapore 738322</v>
          </cell>
        </row>
        <row r="97">
          <cell r="A97" t="str">
            <v>ID#94</v>
          </cell>
          <cell r="B97" t="str">
            <v>S. MARCO FOOD TRADING PTE LTD            39, Woodlands Close #05-27/28/29 Singapore 737856</v>
          </cell>
        </row>
        <row r="98">
          <cell r="A98" t="str">
            <v>ID#95</v>
          </cell>
          <cell r="B98" t="str">
            <v>Soon Soon Soon Food Holding                 652 Geylang Lorong 40. Singapore</v>
          </cell>
        </row>
        <row r="99">
          <cell r="A99" t="str">
            <v>ID#96</v>
          </cell>
          <cell r="B99" t="str">
            <v>Hawker Way pte Ltd                                                     Blk 271, Bukit Batok Avenue 4                                 #01-160    Singapore</v>
          </cell>
        </row>
        <row r="100">
          <cell r="A100" t="str">
            <v>ID#97</v>
          </cell>
          <cell r="B100" t="str">
            <v>Jem Cook House                                           50, Jurong Gateway Road #05-01 JEMS Singapore 608549                                         (DRINK)</v>
          </cell>
        </row>
        <row r="101">
          <cell r="A101" t="str">
            <v>ID#99</v>
          </cell>
          <cell r="B101" t="str">
            <v>HAO KOU WEI PTE LTD                          16A Sungei Kadut Way                    Singapore 728794</v>
          </cell>
        </row>
        <row r="102">
          <cell r="A102" t="str">
            <v>ID#100</v>
          </cell>
          <cell r="B102" t="str">
            <v>HAO KOU WEI PTE LTD                          Blk 272 Bakit Batok #01-56            Singapore</v>
          </cell>
        </row>
        <row r="103">
          <cell r="A103" t="str">
            <v>ID#101</v>
          </cell>
          <cell r="B103" t="str">
            <v>Koufu -喜多福                                                 Blk 267 Compassvale Link                           #01-02 Singapore 540267</v>
          </cell>
        </row>
        <row r="104">
          <cell r="A104" t="str">
            <v>ID#102</v>
          </cell>
          <cell r="B104" t="str">
            <v>Combined Stall                                      Bugis Stall #16. 200 Victoria Street     #03-30. Bugis Junction. Singapore 188021</v>
          </cell>
        </row>
        <row r="105">
          <cell r="A105" t="str">
            <v>ID#103</v>
          </cell>
          <cell r="B105" t="str">
            <v xml:space="preserve">Koufu - WoodGrove                                30, Woodlands Ave 1 #01-11 Singapore 739065     (Drink)                               </v>
          </cell>
        </row>
        <row r="106">
          <cell r="A106" t="str">
            <v>ID#104</v>
          </cell>
          <cell r="B106" t="str">
            <v xml:space="preserve">Koufu - WoodGrove                                30, Woodlands Ave 1 #01-11 Singapore 739065     (Dim Sum)                               </v>
          </cell>
        </row>
        <row r="107">
          <cell r="A107" t="str">
            <v>ID#105</v>
          </cell>
          <cell r="B107" t="str">
            <v>Asia Dessert Marketing                                       Blk 3020, Ubi Avenue 2 #02-125 Singapore 408896</v>
          </cell>
        </row>
        <row r="108">
          <cell r="A108" t="str">
            <v>ID#106</v>
          </cell>
          <cell r="B108" t="str">
            <v>龙马                                                             270 Queen Street #03-50 Albert Centre. Singapore</v>
          </cell>
        </row>
        <row r="109">
          <cell r="A109" t="str">
            <v>ID#107</v>
          </cell>
          <cell r="B109" t="str">
            <v xml:space="preserve">Specturm Food Centre Pte Ltd               134, Tagore Lane Sindo Industrial Estate Singapore 787557           </v>
          </cell>
        </row>
        <row r="110">
          <cell r="A110" t="str">
            <v>ID#108</v>
          </cell>
          <cell r="B110" t="str">
            <v>青草园　　　　　　　　　　       Blk 120, Bukit Merah Lane 1               #01-73 Singapore 150120</v>
          </cell>
        </row>
        <row r="111">
          <cell r="A111" t="str">
            <v>ID#109</v>
          </cell>
          <cell r="B111" t="str">
            <v>Tel: 90087698                                         690 Upper changi Road East #B3-02. Upper Changi MRT Station Singapore 485990</v>
          </cell>
        </row>
        <row r="112">
          <cell r="A112" t="str">
            <v>ID#110</v>
          </cell>
          <cell r="B112" t="str">
            <v>好口味                                               Blk 272 Bakit Batok East Ave 4                 Singapore 650271.</v>
          </cell>
        </row>
        <row r="113">
          <cell r="A113" t="str">
            <v>ID#111</v>
          </cell>
          <cell r="B113" t="str">
            <v>福山满                                                101, Upper Cross Street #B1. People's Park Centre Singapore 058357</v>
          </cell>
        </row>
        <row r="114">
          <cell r="A114" t="str">
            <v>ID#112</v>
          </cell>
          <cell r="B114" t="str">
            <v>好口味                                               Blk 272 Bakit Batok East Ave 4                 Singapore 650272.</v>
          </cell>
        </row>
        <row r="115">
          <cell r="A115" t="str">
            <v>ID#113</v>
          </cell>
          <cell r="B115" t="str">
            <v>优华                                                        Blk 15, Woodland Loop #03-50                            Singapore 738322</v>
          </cell>
        </row>
        <row r="116">
          <cell r="A116" t="str">
            <v>ID#114</v>
          </cell>
          <cell r="B116" t="str">
            <v xml:space="preserve">Tel: 90294611                                   Block 417  Yishun Avenue 11. Singapore                                                       </v>
          </cell>
        </row>
        <row r="117">
          <cell r="A117" t="str">
            <v>ID#115</v>
          </cell>
          <cell r="B117" t="str">
            <v>Lion City Copi &amp; Toast Pte Ltd                  101, Upper Cross Street                        #02-48. People's Park Centre                    Singapore 058357</v>
          </cell>
        </row>
        <row r="118">
          <cell r="A118" t="str">
            <v>id#116</v>
          </cell>
          <cell r="B118" t="str">
            <v>Hee Tea                                                                 35 Robinson Road #01-04                                 Singapore 068898</v>
          </cell>
        </row>
        <row r="119">
          <cell r="A119" t="str">
            <v>ID#117</v>
          </cell>
          <cell r="B119" t="str">
            <v>Hee Tea                                                   Blk 38, Mar Thoma  Road. Riviera Condominium #09-02 Singapore 328712</v>
          </cell>
        </row>
        <row r="120">
          <cell r="A120" t="str">
            <v>ID#118</v>
          </cell>
          <cell r="B120" t="str">
            <v xml:space="preserve">Whampoa Soya Bean                            Blk 221B Boon Lay Hawker Centre. #01-133 </v>
          </cell>
        </row>
        <row r="121">
          <cell r="A121" t="str">
            <v>ID#119</v>
          </cell>
          <cell r="B121" t="str">
            <v>HOLLYWOOD                                             Blk 221B Boon Lay Hawker Centre. #01-130</v>
          </cell>
        </row>
        <row r="122">
          <cell r="A122" t="str">
            <v>Id#120</v>
          </cell>
          <cell r="B122" t="str">
            <v xml:space="preserve">狮城咖啡                                                           People Park Centre, #02-48.                                       </v>
          </cell>
        </row>
        <row r="123">
          <cell r="A123" t="str">
            <v>ID#121</v>
          </cell>
          <cell r="B123" t="str">
            <v xml:space="preserve">Koufu - FRUIT                                                 1, Bukit Batok Central Link.                     #04-01 West Mall, Singapore 658713                                                          </v>
          </cell>
        </row>
        <row r="124">
          <cell r="A124" t="str">
            <v>ID#122</v>
          </cell>
          <cell r="B124" t="str">
            <v>CHEF RICKSON'S KITCHEN (Ally)                  200, Turf Club Road Singapore 287994</v>
          </cell>
        </row>
        <row r="125">
          <cell r="A125" t="str">
            <v>ID#123</v>
          </cell>
          <cell r="B125" t="str">
            <v>IVY LIM 94881981                                                          50-A Lorong Marican Singapore 417233</v>
          </cell>
        </row>
        <row r="126">
          <cell r="A126" t="str">
            <v>ID#124</v>
          </cell>
          <cell r="B126" t="str">
            <v>Fine Food @the south Spine                    50, Nanyang Avenue South Spine Food Court Canteen B, Singapore 639798</v>
          </cell>
        </row>
        <row r="127">
          <cell r="A127" t="str">
            <v>ID#125</v>
          </cell>
          <cell r="B127" t="str">
            <v>HENG HENG FOOD SINGAPORE                                                           Turf Club. 1 Turf Club Avenue Singapore Racecourse Singapore 738078</v>
          </cell>
        </row>
        <row r="128">
          <cell r="A128" t="str">
            <v>ID#126</v>
          </cell>
          <cell r="B128" t="str">
            <v>BB Tea House                                          Block 640, Yishun #01-200 Singapore</v>
          </cell>
        </row>
        <row r="129">
          <cell r="A129" t="str">
            <v>ID#127</v>
          </cell>
          <cell r="B129" t="str">
            <v xml:space="preserve">Koufu - WoodGrove                                30, Woodlands Ave 1 #01-11 Singapore 739065     (DESSERT COUNTER)                               </v>
          </cell>
        </row>
        <row r="130">
          <cell r="A130" t="str">
            <v>ID#128</v>
          </cell>
          <cell r="B130" t="str">
            <v>TEL: 91548191                                                                                          462 Crawford Lane #01-61 Singapore 190462</v>
          </cell>
        </row>
        <row r="131">
          <cell r="A131" t="str">
            <v>ID#129</v>
          </cell>
          <cell r="B131" t="str">
            <v>Koufu Yew Tee Point                                21, Choa Chu Kang North 6, #B1-17 to 22 Yew Tee Point.  Singapore 689578  (Dessert)</v>
          </cell>
        </row>
        <row r="132">
          <cell r="A132" t="str">
            <v>ID#130</v>
          </cell>
          <cell r="B132" t="str">
            <v>Happy Hawkers Kopitiam                    622D Punggol Central,                      Singapore 824622.                                   Tim Sum Counter</v>
          </cell>
        </row>
        <row r="133">
          <cell r="A133" t="str">
            <v>ID#131</v>
          </cell>
          <cell r="B133" t="str">
            <v>Happy Hawkers Kopitiam                   622D Punggol Central,                       Singapore 824622.                                  Drink Counter</v>
          </cell>
        </row>
        <row r="134">
          <cell r="A134" t="str">
            <v>ID#132</v>
          </cell>
          <cell r="B134" t="str">
            <v>STEAM (OFC) PTE LTD                           10, Collyer Quay #B1-10 Ocean Financial Centre Singapore 049315</v>
          </cell>
        </row>
        <row r="135">
          <cell r="A135" t="str">
            <v>ID#133</v>
          </cell>
          <cell r="B135" t="str">
            <v>WaterWay Point                                            83 Punggol Central #02-20/21 Singapore 828761                               (DRINK STALL)</v>
          </cell>
        </row>
        <row r="136">
          <cell r="A136" t="str">
            <v>ID#134</v>
          </cell>
          <cell r="B136" t="str">
            <v xml:space="preserve">FORK &amp; SPOON - Dessert                          470, Lorong 6 Toa Payoh #02-70 Singapore 310470.                                            </v>
          </cell>
        </row>
        <row r="137">
          <cell r="A137" t="str">
            <v>ID#135</v>
          </cell>
          <cell r="B137" t="str">
            <v>Drink &amp; DESSERT Stall                       11, Rivervale Crescent #01-01/02/03 Rivervale Mall Singapore 545082</v>
          </cell>
        </row>
        <row r="138">
          <cell r="A138" t="str">
            <v>ID#136</v>
          </cell>
          <cell r="B138" t="str">
            <v>777 Jurong Gateway                                 50 Jurong Gatway Road.            #05-02 Singapore                           (Dessert Counter)</v>
          </cell>
        </row>
        <row r="139">
          <cell r="A139" t="str">
            <v>ID#137</v>
          </cell>
          <cell r="B139" t="str">
            <v>STEVEN                                                             511, Sembawang Market #01-15 Singapore 750511</v>
          </cell>
        </row>
        <row r="140">
          <cell r="A140" t="str">
            <v>ID#138</v>
          </cell>
          <cell r="B140" t="str">
            <v>TEL: 83093665                                                                                            Blk 642, Bukit Batok Central #01-54/56 Singapore 650642.</v>
          </cell>
        </row>
        <row r="141">
          <cell r="A141" t="str">
            <v>ID#139</v>
          </cell>
          <cell r="B141" t="str">
            <v>KSY TEL: 94313399                                                         #01-173 Pasir Panjang Wholesale Centre, Singapore 110023</v>
          </cell>
        </row>
        <row r="142">
          <cell r="A142" t="str">
            <v>ID#140</v>
          </cell>
          <cell r="B142" t="str">
            <v>LEONG HIN FOODS PTE LTD                 #04-57 Blk 15  Woodland Loop singapore 738322</v>
          </cell>
        </row>
        <row r="143">
          <cell r="A143" t="str">
            <v>ID#141</v>
          </cell>
          <cell r="B143" t="str">
            <v>Zhonghua Cafe 92998953                                 51 Upper Bukit Timah MARKET #02-124 S588215</v>
          </cell>
        </row>
        <row r="144">
          <cell r="A144" t="str">
            <v>ID#142</v>
          </cell>
          <cell r="B144" t="str">
            <v>ZEEMART PTE LTD                                   91, McNair Road                                                Singapore 328559</v>
          </cell>
        </row>
        <row r="145">
          <cell r="A145" t="str">
            <v>ID#143</v>
          </cell>
          <cell r="B145" t="str">
            <v>Hock Seng Food Pte ltd                                   267 Pandan Loop                                                 Singapore 128439</v>
          </cell>
        </row>
        <row r="146">
          <cell r="A146" t="str">
            <v>ID#144</v>
          </cell>
          <cell r="B146" t="str">
            <v>Alistar                                                                Blk 15, Woodland Loop.                           #01-21 Singapore 738322</v>
          </cell>
        </row>
        <row r="147">
          <cell r="A147" t="str">
            <v>ID#145</v>
          </cell>
          <cell r="B147" t="str">
            <v>Café 107 Pte Ltd                                                                             107 Serangoon North Ave 1, #01-671 Singapore 550107.</v>
          </cell>
        </row>
        <row r="148">
          <cell r="A148" t="str">
            <v>ID#146</v>
          </cell>
          <cell r="B148" t="str">
            <v>CHEF RICKSON'S KITCHEN (Ally)                  Blk 4011, Ang Mo Kio Avenue 10, Techplace 1. Stall 10-11 Singapore 569627</v>
          </cell>
        </row>
        <row r="149">
          <cell r="A149" t="str">
            <v>ID#147</v>
          </cell>
          <cell r="B149" t="str">
            <v>Chun Hong Enterprise Pte Ltd                                No 15, Senoko Drive #04-09 Singapore 758202</v>
          </cell>
        </row>
        <row r="150">
          <cell r="A150" t="str">
            <v>ID#148</v>
          </cell>
          <cell r="B150" t="str">
            <v>Soon Soon Soon Food Holding                 119 Lavender Street, Singapore 338731</v>
          </cell>
        </row>
        <row r="151">
          <cell r="A151" t="str">
            <v>ID#149</v>
          </cell>
          <cell r="B151" t="str">
            <v>Circle In The Box                                                                            183 Jalan Pelikat, The Promonade        B1-28. Singapore 537643</v>
          </cell>
        </row>
        <row r="152">
          <cell r="A152" t="str">
            <v>ID#150</v>
          </cell>
          <cell r="B152" t="str">
            <v>WaterWay Point                                            83 Punggol Central #02-20/21 Singapore 828761                               (DIM SUM STALL)</v>
          </cell>
        </row>
        <row r="153">
          <cell r="A153" t="str">
            <v>ID#151</v>
          </cell>
          <cell r="B153" t="str">
            <v>YAMMIE TAIWAN SNACK                                11, CANBERRA ROAD #01-05 SEMBAWANG MRT STATION S (759775)</v>
          </cell>
        </row>
        <row r="154">
          <cell r="A154" t="str">
            <v>ID#152</v>
          </cell>
          <cell r="B154" t="str">
            <v xml:space="preserve">KOUFU PTE LTD                                     BLK 671, Edgefield Plains  #01-01                  Singapore 820671              </v>
          </cell>
        </row>
        <row r="155">
          <cell r="A155" t="str">
            <v>ID#153</v>
          </cell>
          <cell r="B155" t="str">
            <v xml:space="preserve">Dessert Stall 10                                          Catholic Junior College.                                 129 Whitley Road                                     Singapore 297822                                                                                      </v>
          </cell>
        </row>
        <row r="156">
          <cell r="A156" t="str">
            <v>ID#154</v>
          </cell>
          <cell r="B156" t="str">
            <v xml:space="preserve">Koufu Pte Ltd                                           Drink Stall. Republic Polytechnic.           South Foodcourt.                                           31 Woodland Ave 9                                  Singapore 737909                                                                            </v>
          </cell>
        </row>
        <row r="157">
          <cell r="A157" t="str">
            <v>ID#155</v>
          </cell>
          <cell r="B157" t="str">
            <v>CHEF RICKSON'S KITCHEN (Ally)                  Blk 177, Bishan Street 13 #04-177 Singapore 570177</v>
          </cell>
        </row>
        <row r="158">
          <cell r="A158" t="str">
            <v>ID#156</v>
          </cell>
          <cell r="B158" t="str">
            <v>RASA RASA @ SENGKANG PTE LTD                                               BLK 278D, Compassvale Bow #01-05 Singapore 544278</v>
          </cell>
        </row>
        <row r="159">
          <cell r="A159" t="str">
            <v>ID#157</v>
          </cell>
          <cell r="B159" t="str">
            <v>Rong Hua Desserts                                             Blk 10, Ubi Crescent #01-04.                          Ubi Tech Park Singapore 408564</v>
          </cell>
        </row>
        <row r="160">
          <cell r="A160" t="str">
            <v>ID#158</v>
          </cell>
          <cell r="B160" t="str">
            <v xml:space="preserve">Foodgle Hub Pte Ltd                                               2 Ang Mo Kio Drive                                         Singapore 567720   </v>
          </cell>
        </row>
        <row r="161">
          <cell r="A161" t="str">
            <v>ID#159</v>
          </cell>
          <cell r="B161" t="str">
            <v xml:space="preserve">Koufu Pte Ltd- DRINK STALL                                      Millenia Walk, 9 Raffle Boulevard #01-46                                                    Singapore 039596                                                                        </v>
          </cell>
        </row>
        <row r="162">
          <cell r="A162" t="str">
            <v>ID#160</v>
          </cell>
          <cell r="B162" t="str">
            <v>Comme Me Das                                                                                   2 Venture Drive, Vision Exchange #01-40          Singapore 608526</v>
          </cell>
        </row>
        <row r="163">
          <cell r="A163" t="str">
            <v>ID#161</v>
          </cell>
          <cell r="B163" t="str">
            <v>HOME TOWN PTE LTD                                                                    Blk 15, Woodlands Loop.                                      #01-59 Singapore 738322</v>
          </cell>
        </row>
        <row r="164">
          <cell r="A164" t="str">
            <v>ID#162</v>
          </cell>
          <cell r="B164" t="str">
            <v xml:space="preserve">MICHELLE                                                         56, MINBU ROAD #03-01                                        SINGAPORE 308185          </v>
          </cell>
        </row>
        <row r="165">
          <cell r="A165" t="str">
            <v>ID#163</v>
          </cell>
          <cell r="B165" t="str">
            <v xml:space="preserve">PS Seiko Pte Ltd                                                    2, Woodlands Sector, #05-23/25 Woodlands Spectrum 1                                     SINGAPORe 738068          </v>
          </cell>
        </row>
        <row r="166">
          <cell r="A166" t="str">
            <v>ID#164</v>
          </cell>
          <cell r="B166" t="str">
            <v xml:space="preserve">Koufu - DIM SUM                                          Block 168 Punggol Field #01-01      Punggol Plaza Singapore 820168               </v>
          </cell>
        </row>
        <row r="167">
          <cell r="A167" t="str">
            <v>ID#165</v>
          </cell>
          <cell r="B167" t="str">
            <v xml:space="preserve">GOODWOOF PTE. LTD.              202214489W                                                31 Woodlands Close #06-16        Singapore 737855          </v>
          </cell>
        </row>
        <row r="168">
          <cell r="A168" t="str">
            <v>ID#166</v>
          </cell>
          <cell r="B168" t="str">
            <v>FOOD REPUBLIC PTE LTD                                  Serangoon Nex@JUICE BAR                    23, Serangoon Central #B2-63                      Singapore 550683</v>
          </cell>
        </row>
        <row r="169">
          <cell r="A169" t="str">
            <v>ID#167</v>
          </cell>
          <cell r="B169" t="str">
            <v xml:space="preserve">FOOD REPUBLIC PTE LTD                                   ION Orchard @ Juice Bar No: #26               2, Orchard Turn #B4-03/04        Singapore 238801                                           </v>
          </cell>
        </row>
        <row r="170">
          <cell r="A170" t="str">
            <v>ID#168</v>
          </cell>
          <cell r="B170" t="str">
            <v xml:space="preserve">FOOD REPUBLIC PTE LTD                                   Shaw Lido Orchard@ Juice Bar No 7                     1, Scotts Road #B1-01 Shaw Centre        Singapore 228208                                 </v>
          </cell>
        </row>
        <row r="171">
          <cell r="A171" t="str">
            <v>ID#169</v>
          </cell>
          <cell r="B171" t="str">
            <v xml:space="preserve">FOOD REPUBLIC PTE LTD                                   Shaw Lido Orchard@ICE shop                    1, Scotts Road #B1-01 Shaw Centre        Singapore 228208                                 </v>
          </cell>
        </row>
        <row r="172">
          <cell r="A172" t="str">
            <v>ID#170</v>
          </cell>
          <cell r="B172" t="str">
            <v xml:space="preserve">FOOD REPUBLIC PTE LTD                        Wisma Atria Orchard@Juice Bar  .          435 Orchard Road #04-02    Wisma Atria Singapore 238877                           </v>
          </cell>
        </row>
        <row r="173">
          <cell r="A173" t="str">
            <v>ID#171</v>
          </cell>
          <cell r="B173" t="str">
            <v xml:space="preserve">FOOD REPUBLIC PTE LTD                                   Vivo City @Juice Bar #20                                         1, Harbourfront Walk #03-01, VivoCity   Singapore 098585                           </v>
          </cell>
        </row>
        <row r="174">
          <cell r="A174" t="str">
            <v>ID#172</v>
          </cell>
          <cell r="B174" t="str">
            <v xml:space="preserve">FOOD REPUBLIC PTE LTD                                  Causeway Point @Juice Bar, Woodlands Square #04-01 Causeway Point Singapore 738099                                                        </v>
          </cell>
        </row>
        <row r="175">
          <cell r="A175" t="str">
            <v>ID#173</v>
          </cell>
          <cell r="B175" t="str">
            <v xml:space="preserve">FOOD REPUBLIC PTE LTD                                  Somerset Orchard@Juice Bar No: 17   313 Orchard Road #05-01                Singapore 238895                           </v>
          </cell>
        </row>
        <row r="176">
          <cell r="A176" t="str">
            <v>ID#174</v>
          </cell>
          <cell r="B176" t="str">
            <v xml:space="preserve">FOOD REPUBLIC PTE LTD                                   Westgate @ Juice Bar No 18A                      3 Gateway Drive #B1-28/29            Singapore 608532                           </v>
          </cell>
        </row>
        <row r="177">
          <cell r="A177" t="str">
            <v>ID#175</v>
          </cell>
          <cell r="B177" t="str">
            <v xml:space="preserve">FOOD REPUBLIC PTE LTD                                   Parkway Parade @Juice Bar                     80 Marine Parade Road #B1-85        Singapore 449269                            </v>
          </cell>
        </row>
        <row r="178">
          <cell r="A178" t="str">
            <v>ID#176</v>
          </cell>
          <cell r="B178" t="str">
            <v xml:space="preserve">FOOD REPUBLIC PTE LTD                                  City Square@Drink Stall No: 14A                180 Kitchener Road #04-31                     City Square Mall, Singapore 208539                                               </v>
          </cell>
        </row>
        <row r="179">
          <cell r="A179" t="str">
            <v>ID#177</v>
          </cell>
          <cell r="B179" t="str">
            <v xml:space="preserve">FOOD REPUBLIC PTE LTD                                  IHQ Tai Seng @Drink Stall No 02              30, Tai Seng Street #01-06            Breadtalk IHQ,   Singapore 534013                            </v>
          </cell>
        </row>
        <row r="180">
          <cell r="A180" t="str">
            <v>ID#178</v>
          </cell>
          <cell r="B180" t="str">
            <v xml:space="preserve">FOOD REPUBLIC PTE LTD                                   Suntec City@Juice Bar                                            3, Temasek Boulevard #B1-115             Suntec City Mall Singapore 038983                          </v>
          </cell>
        </row>
        <row r="181">
          <cell r="A181" t="str">
            <v>ID#179</v>
          </cell>
          <cell r="B181" t="str">
            <v>SELETAR COUNTRY CLUB                                   101, Seletar Club Road. Singapore 798273</v>
          </cell>
        </row>
        <row r="182">
          <cell r="A182" t="str">
            <v>ID#180</v>
          </cell>
          <cell r="B182" t="str">
            <v>KEN HONG SENG PTE LTD                                   15, WOODLANDS LOOP #01-58/60 SINGAPORE 738322</v>
          </cell>
        </row>
        <row r="183">
          <cell r="A183" t="str">
            <v>ID#181</v>
          </cell>
          <cell r="B183" t="str">
            <v xml:space="preserve">FMD CENTRAL KITCHEN HOT                           10, SENOKO WAY                                LEVEL3    SINGAPORE 758031                  </v>
          </cell>
        </row>
        <row r="184">
          <cell r="A184" t="str">
            <v>ID#182</v>
          </cell>
          <cell r="B184" t="str">
            <v xml:space="preserve">DELI ASIA (S) PTE LTD                                      1, Woodlands Height #01-03                             SINGAPORE 737859                  </v>
          </cell>
        </row>
        <row r="185">
          <cell r="A185" t="str">
            <v>ID#183</v>
          </cell>
          <cell r="B185" t="str">
            <v xml:space="preserve">TEL: 90087698                                                 6 Changi Business Park Avenue 1,                  #01-23 ESR BizPark @Changi                Singapore 486017                </v>
          </cell>
        </row>
        <row r="186">
          <cell r="A186" t="str">
            <v>ID#184</v>
          </cell>
          <cell r="B186" t="str">
            <v xml:space="preserve">Yew Ming Trading Pte Ltd                                               Blk Pasir Panjang Wholesale Centre               #01-108/109            Singapore 110017             </v>
          </cell>
        </row>
        <row r="187">
          <cell r="A187" t="str">
            <v>ID#185</v>
          </cell>
          <cell r="B187" t="str">
            <v xml:space="preserve">Da Pai Dang Dessert                                               37A Teban Gardens Food Centre                               #01-16  Singapore 110017             </v>
          </cell>
        </row>
        <row r="188">
          <cell r="A188" t="str">
            <v>ID#186</v>
          </cell>
          <cell r="B188" t="str">
            <v xml:space="preserve"> Punggol OASIS (Gourmet Paradise)                 681 Punggol Drive #04-01 OASIS Terraces Singapore 820681  (Drink Stall)</v>
          </cell>
        </row>
        <row r="189">
          <cell r="A189" t="str">
            <v>ID#187</v>
          </cell>
          <cell r="B189" t="str">
            <v>R&amp;B TEA SINGAPORE                                                        30 SEMBAWANG DRIVE #B1-38 SUN PLAZA, SINGAPORE 757713</v>
          </cell>
        </row>
        <row r="190">
          <cell r="A190" t="str">
            <v>ID#188</v>
          </cell>
          <cell r="B190" t="str">
            <v xml:space="preserve">R&amp;B TEA SINGAPORE                                                         SINOPEC, 150 WOODLANDS AVENUE 5  SINGAPORE 739375             </v>
          </cell>
        </row>
        <row r="191">
          <cell r="A191" t="str">
            <v>ID#189</v>
          </cell>
          <cell r="B191" t="str">
            <v>R&amp;B TEA SINGAPORE                                  2 BAYFRONT AVENUE #B2-49/53 MARINA BAY SANDS, SINGAPORE 018972</v>
          </cell>
        </row>
        <row r="192">
          <cell r="A192" t="str">
            <v>ID#190</v>
          </cell>
          <cell r="B192" t="str">
            <v>R&amp;B TEA SINGAPORE                                                         NTU, 76 NANYANG DRIVE #02-03 SINGAPORE 637331</v>
          </cell>
        </row>
        <row r="193">
          <cell r="A193" t="str">
            <v>ID#191</v>
          </cell>
          <cell r="B193" t="str">
            <v>R&amp;B TEA SINGAPORE                                                         9 RAFFLES BOULEVARD #01-K15 MILLENIA WALK, SINGAPORE 039596</v>
          </cell>
        </row>
        <row r="194">
          <cell r="A194" t="str">
            <v>ID#192</v>
          </cell>
          <cell r="B194" t="str">
            <v>R&amp;B TEA SINGAPORE                                                         21 CHOA CHU KANG NORTH #01-49/50 YEW TEE POINT, SINGAPORE 689578</v>
          </cell>
        </row>
        <row r="195">
          <cell r="A195" t="str">
            <v>ID#193</v>
          </cell>
          <cell r="B195" t="str">
            <v>Tiong Bahru Soya Bean                                                        52 Tiong Bahru Road #02-63.    Singapore 168716</v>
          </cell>
        </row>
        <row r="196">
          <cell r="A196" t="str">
            <v>ID#194</v>
          </cell>
          <cell r="B196" t="str">
            <v>R&amp;B TEA SINGAPORE                                                         20 TAMPINES CENTRAL #01-18 TAMPINES MRT, SINGAPORE 529538</v>
          </cell>
        </row>
        <row r="197">
          <cell r="A197" t="str">
            <v>ID#195</v>
          </cell>
          <cell r="B197" t="str">
            <v>R&amp;B TEA SINGAPORE                                                       470 TOA PAYOH LORONG 6 SINGAPORE 310470</v>
          </cell>
        </row>
        <row r="198">
          <cell r="A198" t="str">
            <v>ID#196</v>
          </cell>
          <cell r="B198" t="str">
            <v>R&amp;B TEA SINGAPORE                                                      991 BUANGKOK LINK #01-27 SINGAPORE 530991</v>
          </cell>
        </row>
        <row r="199">
          <cell r="A199" t="str">
            <v>ID#197</v>
          </cell>
          <cell r="B199" t="str">
            <v>R&amp;B TEA SINGAPORE                                                     3155 COMMONWEALTH AVENUE WEST #04-K4 CLEMENTI MALL, SINGAPORE 129588</v>
          </cell>
        </row>
        <row r="200">
          <cell r="A200" t="str">
            <v>ID#198</v>
          </cell>
          <cell r="B200" t="str">
            <v>R&amp;B TEA SINGAPORE                                                 OASIS TERRACES, 681 PUNGGOL DRIVE #B1-03 SINGAPORE 820681</v>
          </cell>
        </row>
        <row r="201">
          <cell r="A201" t="str">
            <v>ID#199</v>
          </cell>
          <cell r="B201" t="str">
            <v>R&amp;B TEA SINGAPORE                                                  3 SIMEI STREET 6 #01-04                     EAST POINT MALL, SINGAPORE 528833</v>
          </cell>
        </row>
        <row r="202">
          <cell r="A202" t="str">
            <v>ID#200</v>
          </cell>
          <cell r="B202" t="str">
            <v>R&amp;B TEA SINGAPORE                                                 377 HOUGANG STREET 32 #B1-18, SINGAPORE 530377</v>
          </cell>
        </row>
        <row r="203">
          <cell r="A203" t="str">
            <v>ID#201</v>
          </cell>
          <cell r="B203" t="str">
            <v>R&amp;B TEA SINGAPORE                                                 LE QUEST, 4 BUKIT BATOK STREET 41 #01-47 SINGAPORE 657991</v>
          </cell>
        </row>
        <row r="204">
          <cell r="A204" t="str">
            <v>ID#202</v>
          </cell>
          <cell r="B204" t="str">
            <v>R&amp;B TEA SINGAPORE                                                 101 THOMSON ROAD #02-K1        UNITED SQUARE, SINGAPORE 307591</v>
          </cell>
        </row>
        <row r="205">
          <cell r="A205" t="str">
            <v>ID#203</v>
          </cell>
          <cell r="B205" t="str">
            <v>R&amp;B TEA SINGAPORE                                                 1 KIM SENG PROMENADE  #B1-K104 GREAT WORLD CITY,                 SINGAPORE 237994</v>
          </cell>
        </row>
        <row r="206">
          <cell r="A206" t="str">
            <v>ID#204</v>
          </cell>
          <cell r="B206" t="str">
            <v>R&amp;B TEA SINGAPORE                                                 80 MARINE PARADE ROAD #03-30A PARKWAY PARADE,                     SINGAPORE 449269</v>
          </cell>
        </row>
        <row r="207">
          <cell r="A207" t="str">
            <v>ID#205</v>
          </cell>
          <cell r="B207" t="str">
            <v>R&amp;B TEA SINGAPORE                                                BLK 118 RIVERVALE DRIVE #01-K16 RIVERVALE PLAZA,                        SINGAPORE 540118</v>
          </cell>
        </row>
        <row r="208">
          <cell r="A208" t="str">
            <v>ID#206</v>
          </cell>
          <cell r="B208" t="str">
            <v>Guangdong Import &amp; Export Pte Ltd                                               48 Toh Guan Road East #07-119   Enterprise Hub Singapore 608586</v>
          </cell>
        </row>
        <row r="209">
          <cell r="A209" t="str">
            <v>ID#207</v>
          </cell>
          <cell r="B209" t="str">
            <v>TUCK SHOP                                                  One Punggol Hawker Centre, 1 Punggol Drive, #02-32, Singapore 828629</v>
          </cell>
        </row>
        <row r="210">
          <cell r="A210" t="str">
            <v>ID#208</v>
          </cell>
          <cell r="B210" t="str">
            <v>R&amp;B TEA SINGAPORE                                                301 UPPER THOMSON ROAD  #01-106 THOMSON PLAZA SINGAPORE 574408</v>
          </cell>
        </row>
        <row r="211">
          <cell r="A211" t="str">
            <v>ID#209</v>
          </cell>
          <cell r="B211" t="str">
            <v>7 Andover Rd, Singapore 509985</v>
          </cell>
        </row>
        <row r="212">
          <cell r="A212" t="str">
            <v>ID#210</v>
          </cell>
          <cell r="B212" t="str">
            <v>KOUFU GOURMET PTE LTD                                     1 Woodlands Height #05-01                    Singapore 737859</v>
          </cell>
        </row>
        <row r="218">
          <cell r="C218" t="str">
            <v>1/9 起调整价钱</v>
          </cell>
        </row>
        <row r="219">
          <cell r="C219" t="str">
            <v>P3001</v>
          </cell>
          <cell r="D219" t="str">
            <v>Atap Seeds in Syrup亚嗒子</v>
          </cell>
          <cell r="G219">
            <v>1</v>
          </cell>
          <cell r="H219" t="str">
            <v>20 kgs/tin</v>
          </cell>
          <cell r="I219" t="str">
            <v>2P</v>
          </cell>
          <cell r="K219">
            <v>64</v>
          </cell>
        </row>
        <row r="220">
          <cell r="C220" t="str">
            <v>P3001A</v>
          </cell>
          <cell r="D220" t="str">
            <v>Atap Seeds in Syrup亚嗒子</v>
          </cell>
          <cell r="G220">
            <v>1</v>
          </cell>
          <cell r="H220" t="str">
            <v>NW (2.1:0.9) 3 kgs</v>
          </cell>
          <cell r="I220" t="str">
            <v>DO!</v>
          </cell>
          <cell r="K220">
            <v>11.5</v>
          </cell>
        </row>
        <row r="222">
          <cell r="C222" t="str">
            <v>7月1日起调整价钱</v>
          </cell>
        </row>
        <row r="223">
          <cell r="C223" t="str">
            <v>P5004</v>
          </cell>
          <cell r="D223" t="str">
            <v>Fine Sugar 白糖</v>
          </cell>
          <cell r="G223">
            <v>1</v>
          </cell>
          <cell r="H223" t="str">
            <v>25 KGS</v>
          </cell>
          <cell r="I223" t="str">
            <v>MITRPHOL</v>
          </cell>
          <cell r="K223">
            <v>31</v>
          </cell>
        </row>
        <row r="225">
          <cell r="C225" t="str">
            <v>下次起调整价钱</v>
          </cell>
        </row>
        <row r="226">
          <cell r="C226" t="str">
            <v>P5002A</v>
          </cell>
          <cell r="D226" t="str">
            <v>Brown Sugar 黑糖</v>
          </cell>
          <cell r="G226">
            <v>1</v>
          </cell>
          <cell r="H226" t="str">
            <v>6 kgs</v>
          </cell>
          <cell r="I226" t="str">
            <v>Star</v>
          </cell>
          <cell r="K226">
            <v>16.5</v>
          </cell>
        </row>
        <row r="227">
          <cell r="C227" t="str">
            <v>P5003A</v>
          </cell>
          <cell r="D227" t="str">
            <v>Red Sugar 赤糖</v>
          </cell>
          <cell r="G227">
            <v>1</v>
          </cell>
          <cell r="H227" t="str">
            <v>6 kgs</v>
          </cell>
          <cell r="I227" t="str">
            <v>Star</v>
          </cell>
          <cell r="K227">
            <v>16.5</v>
          </cell>
        </row>
        <row r="230">
          <cell r="C230" t="str">
            <v>NOTE:</v>
          </cell>
        </row>
        <row r="231">
          <cell r="C231" t="str">
            <v>For orders under S$100 will be subjected to a delivery surcharge (S$10).</v>
          </cell>
        </row>
        <row r="232">
          <cell r="C232" t="str">
            <v>订单金额低于 100 新元的订单将收取送货附加费 (10 新元)。</v>
          </cell>
        </row>
      </sheetData>
      <sheetData sheetId="5">
        <row r="3">
          <cell r="B3" t="str">
            <v>M1001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04-33 Picking List"/>
      <sheetName val="04-22 Lyeheng"/>
      <sheetName val="order list new"/>
      <sheetName val="好运 "/>
      <sheetName val="Sales Master"/>
      <sheetName val="Delivery Location"/>
      <sheetName val="#64 (2)"/>
      <sheetName val="#61"/>
      <sheetName val="#209"/>
      <sheetName val="#207"/>
      <sheetName val="#206"/>
      <sheetName val="#193"/>
      <sheetName val="#193 (2)"/>
      <sheetName val="#210"/>
      <sheetName val="#208"/>
      <sheetName val="#205"/>
      <sheetName val="#204"/>
      <sheetName val="#203"/>
      <sheetName val="#202"/>
      <sheetName val="#201"/>
      <sheetName val="#200"/>
      <sheetName val="#199"/>
      <sheetName val="#198"/>
      <sheetName val="#197"/>
      <sheetName val="#196"/>
      <sheetName val="#195"/>
      <sheetName val="#194"/>
      <sheetName val="#192"/>
      <sheetName val="#191"/>
      <sheetName val="#190"/>
      <sheetName val="#189"/>
      <sheetName val="#188"/>
      <sheetName val="#187"/>
      <sheetName val="#21"/>
      <sheetName val="#64"/>
      <sheetName val="#94"/>
      <sheetName val="#34"/>
      <sheetName val="#90"/>
      <sheetName val="#90 (2)"/>
      <sheetName val="SAMPLE"/>
      <sheetName val="#185"/>
      <sheetName val="#184"/>
      <sheetName val="#183"/>
      <sheetName val="#172"/>
      <sheetName val="#170"/>
      <sheetName val="#176"/>
      <sheetName val="#182"/>
      <sheetName val="#153"/>
      <sheetName val="#86"/>
      <sheetName val="#171"/>
      <sheetName val="#181"/>
      <sheetName val="#181 (2)"/>
      <sheetName val="#180"/>
      <sheetName val="#179"/>
      <sheetName val="#179 (2)"/>
      <sheetName val="#88"/>
      <sheetName val="#88 (2)"/>
      <sheetName val="#85"/>
      <sheetName val="#84"/>
      <sheetName val="#173"/>
      <sheetName val="#174"/>
      <sheetName val="#166"/>
      <sheetName val="#168"/>
      <sheetName val="#175"/>
      <sheetName val="#178"/>
      <sheetName val="#164"/>
      <sheetName val="#80"/>
      <sheetName val="#80 (2)"/>
      <sheetName val="#169"/>
      <sheetName val="#04"/>
      <sheetName val="#02"/>
      <sheetName val="#03"/>
      <sheetName val="#163"/>
      <sheetName val="#162"/>
      <sheetName val="#161"/>
      <sheetName val="#165"/>
      <sheetName val="#58"/>
      <sheetName val="#08"/>
      <sheetName val="#25"/>
      <sheetName val="#71"/>
      <sheetName val="#18"/>
      <sheetName val="#157"/>
      <sheetName val="#157 (2)"/>
      <sheetName val="#145"/>
      <sheetName val="#152"/>
      <sheetName val="#154"/>
      <sheetName val="#155"/>
      <sheetName val="#159"/>
      <sheetName val="#52"/>
      <sheetName val="#10"/>
      <sheetName val="#78"/>
      <sheetName val="#78 (2)"/>
      <sheetName val="#78 (3)"/>
      <sheetName val="#148"/>
      <sheetName val="#13"/>
      <sheetName val="#101"/>
      <sheetName val="#26"/>
      <sheetName val="#33"/>
      <sheetName val="#33 (2)"/>
      <sheetName val="#50"/>
      <sheetName val="#50 (3)"/>
      <sheetName val="#89"/>
      <sheetName val="#89 (2)"/>
      <sheetName val="#135"/>
      <sheetName val="#63"/>
      <sheetName val="#63 (2)"/>
      <sheetName val="#47"/>
      <sheetName val="#42"/>
      <sheetName val="#45"/>
      <sheetName val="#69"/>
      <sheetName val="#69 (2)"/>
      <sheetName val="#93"/>
      <sheetName val="#93 (2)"/>
      <sheetName val="#24"/>
      <sheetName val="#74"/>
      <sheetName val="#75"/>
      <sheetName val="#150"/>
      <sheetName val="#81"/>
      <sheetName val="#133"/>
      <sheetName val="#44"/>
      <sheetName val="#91"/>
      <sheetName val="#27"/>
      <sheetName val="#15"/>
      <sheetName val="#16"/>
      <sheetName val="#17"/>
      <sheetName val="#48"/>
      <sheetName val="#49"/>
      <sheetName val="#36"/>
      <sheetName val="#56"/>
      <sheetName val="#56 (2)"/>
      <sheetName val="#55"/>
      <sheetName val="#54"/>
      <sheetName val="#92"/>
      <sheetName val="#79"/>
      <sheetName val="#79 (2)"/>
      <sheetName val="#186"/>
      <sheetName val="#66"/>
      <sheetName val="#28"/>
      <sheetName val="#29"/>
      <sheetName val="#129"/>
      <sheetName val="#105"/>
      <sheetName val="#67"/>
      <sheetName val="#20"/>
      <sheetName val="#65"/>
      <sheetName val="#124"/>
      <sheetName val="#121"/>
      <sheetName val="#41"/>
      <sheetName val="#40"/>
      <sheetName val="#68"/>
      <sheetName val="#59"/>
      <sheetName val="#128"/>
      <sheetName val="#95"/>
      <sheetName val="#130"/>
      <sheetName val="#131"/>
      <sheetName val="#39"/>
      <sheetName val="#114"/>
      <sheetName val="#158"/>
      <sheetName val="#160"/>
      <sheetName val="#126"/>
      <sheetName val="#151"/>
      <sheetName val="#156"/>
      <sheetName val="#123"/>
      <sheetName val="#09"/>
      <sheetName val="#149"/>
      <sheetName val="#144"/>
      <sheetName val="#142"/>
      <sheetName val="#43"/>
      <sheetName val="#46"/>
      <sheetName val="#138"/>
      <sheetName val="#137"/>
      <sheetName val="#139"/>
      <sheetName val="#140"/>
      <sheetName val="#141"/>
      <sheetName val="#143"/>
      <sheetName val="#111"/>
      <sheetName val="#51"/>
      <sheetName val="#122"/>
      <sheetName val="#31"/>
      <sheetName val="#115"/>
      <sheetName val="#32"/>
      <sheetName val="#53"/>
      <sheetName val="#97"/>
      <sheetName val="#110"/>
      <sheetName val="#116"/>
      <sheetName val="#30"/>
      <sheetName val="#57"/>
      <sheetName val="#109"/>
      <sheetName val="#132"/>
      <sheetName val="#01"/>
      <sheetName val="#11"/>
      <sheetName val="#76"/>
      <sheetName val="#77"/>
      <sheetName val="#102"/>
      <sheetName val="#127"/>
      <sheetName val="#134"/>
      <sheetName val="#05"/>
      <sheetName val="#72"/>
      <sheetName val="#96"/>
      <sheetName val="#73"/>
      <sheetName val="#103"/>
      <sheetName val="#136"/>
      <sheetName val="#60"/>
      <sheetName val="#99"/>
      <sheetName val="#113"/>
      <sheetName val="STAFF"/>
      <sheetName val="#06"/>
      <sheetName val="#07"/>
      <sheetName val="#12"/>
      <sheetName val="#14"/>
      <sheetName val="#19"/>
      <sheetName val="#22"/>
      <sheetName val="#35"/>
      <sheetName val="#37"/>
      <sheetName val="#38"/>
      <sheetName val="#62"/>
      <sheetName val="#70"/>
      <sheetName val="#87"/>
      <sheetName val="#100"/>
      <sheetName val="#104"/>
      <sheetName val="#118"/>
      <sheetName val="#106"/>
      <sheetName val="#107"/>
      <sheetName val="#112"/>
      <sheetName val="#119"/>
      <sheetName val="#120"/>
      <sheetName val="#125"/>
      <sheetName val="#146"/>
      <sheetName val="#147"/>
      <sheetName val="sEFONG"/>
      <sheetName val="Ally"/>
      <sheetName val="BLK 248"/>
      <sheetName val="Yuan Yuan"/>
      <sheetName val="NY LIST"/>
      <sheetName val="City Energy"/>
    </sheetNames>
    <sheetDataSet>
      <sheetData sheetId="0"/>
      <sheetData sheetId="1"/>
      <sheetData sheetId="2"/>
      <sheetData sheetId="3"/>
      <sheetData sheetId="4"/>
      <sheetData sheetId="5">
        <row r="4">
          <cell r="A4" t="str">
            <v>ID#01</v>
          </cell>
          <cell r="B4" t="str">
            <v>Koufu Rasapura Masters                            2, Bayfront Avenue #B2-49A/50A Singapore 018972                              (Dim Dum)</v>
          </cell>
          <cell r="C4"/>
          <cell r="D4"/>
          <cell r="E4"/>
          <cell r="F4"/>
          <cell r="G4"/>
          <cell r="H4"/>
          <cell r="I4"/>
          <cell r="J4"/>
          <cell r="K4"/>
          <cell r="L4"/>
          <cell r="M4"/>
          <cell r="N4"/>
        </row>
        <row r="5">
          <cell r="A5" t="str">
            <v>ID#02</v>
          </cell>
          <cell r="B5" t="str">
            <v>Koufu Rasapura Masters                    2, Bayfront Avenue #B2-49A/50A Singapore 018972                               (Fruit)</v>
          </cell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</row>
        <row r="6">
          <cell r="A6" t="str">
            <v>ID#03</v>
          </cell>
          <cell r="B6" t="str">
            <v>Koufu Rasapura Masters                    2, Bayfront Avenue #B2-49A/50A Singapore 018972                               (Drink)</v>
          </cell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</row>
        <row r="7">
          <cell r="A7" t="str">
            <v>ID#04</v>
          </cell>
          <cell r="B7" t="str">
            <v>Koufu Rasapura Masters                          2, Bayfront Avenue #B2-49A/50A Singapore 018972                              (Dessert)</v>
          </cell>
          <cell r="C7"/>
          <cell r="D7"/>
          <cell r="E7"/>
          <cell r="F7"/>
          <cell r="G7"/>
          <cell r="H7"/>
          <cell r="I7"/>
          <cell r="J7"/>
          <cell r="K7"/>
          <cell r="L7"/>
          <cell r="M7"/>
          <cell r="N7"/>
        </row>
        <row r="8">
          <cell r="A8" t="str">
            <v>ID#05</v>
          </cell>
          <cell r="B8" t="str">
            <v>IR, Singapore Pool Stall                  2 Bayfront Avenue. #01-01  Singapore 018972</v>
          </cell>
          <cell r="C8"/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</row>
        <row r="9">
          <cell r="A9" t="str">
            <v>ID#06</v>
          </cell>
          <cell r="B9" t="str">
            <v xml:space="preserve">Koufu - (Drink)                                             6, Raffles Boulevard #04-101/102 Marina Square Singapore 039594                 </v>
          </cell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</row>
        <row r="10">
          <cell r="A10" t="str">
            <v>ID#07</v>
          </cell>
          <cell r="B10" t="str">
            <v xml:space="preserve">Koufu - (Dessert)                                         6, Raffles Boulevard #04-101/102 Marina Square Singapore 039594              </v>
          </cell>
          <cell r="C10"/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</row>
        <row r="11">
          <cell r="A11" t="str">
            <v>ID#08</v>
          </cell>
          <cell r="B11" t="str">
            <v>甜甜                                                                         Tiong Bahru Market. 30 Seng Poh Road #02-15. Singapore 168898</v>
          </cell>
          <cell r="C11"/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</row>
        <row r="12">
          <cell r="A12" t="str">
            <v>ID#09</v>
          </cell>
          <cell r="B12" t="str">
            <v>Drink &amp; Dessert Stall                                  Bugis Stall #16. 200 Victoria Street     #03-30. Bugis Junction. Singapore 188021</v>
          </cell>
          <cell r="C12"/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</row>
        <row r="13">
          <cell r="A13" t="str">
            <v>ID#10</v>
          </cell>
          <cell r="B13" t="str">
            <v>Drink &amp; Dessert Stall                                  252 North Bridge Road.                           #03-15/16/17 Raffles City Shopping Centre.  Singapore 189768.</v>
          </cell>
          <cell r="C13"/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</row>
        <row r="14">
          <cell r="A14" t="str">
            <v>ID#11</v>
          </cell>
          <cell r="B14" t="str">
            <v>Toast Junction                                       252 North Bridge Road.                                   #03-15/16/17 Raffles City Shopping Centre.                          Singapore 189768.</v>
          </cell>
          <cell r="C14"/>
          <cell r="D14"/>
          <cell r="E14"/>
          <cell r="F14"/>
          <cell r="G14"/>
          <cell r="H14"/>
          <cell r="I14"/>
          <cell r="J14"/>
          <cell r="K14"/>
          <cell r="L14"/>
          <cell r="M14"/>
          <cell r="N14"/>
        </row>
        <row r="15">
          <cell r="A15" t="str">
            <v>ID#12</v>
          </cell>
          <cell r="B15" t="str">
            <v xml:space="preserve">JNS 111 Food                                               Cuppage Plaza #B1-19/20. Singapore 228796 </v>
          </cell>
          <cell r="C15"/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</row>
        <row r="16">
          <cell r="A16" t="str">
            <v>id#13</v>
          </cell>
          <cell r="B16" t="str">
            <v>Combined Stalls                                              1 Kim Seng Promenade #03-116. Great World City Singapore 237994</v>
          </cell>
          <cell r="C16"/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</row>
        <row r="17">
          <cell r="A17" t="str">
            <v>ID#14</v>
          </cell>
          <cell r="B17" t="str">
            <v>JNS 111 Food                                               River Vally Point #01-11 Singapore 248371.</v>
          </cell>
          <cell r="C17"/>
          <cell r="D17"/>
          <cell r="E17"/>
          <cell r="F17"/>
          <cell r="G17"/>
          <cell r="H17"/>
          <cell r="I17"/>
          <cell r="J17"/>
          <cell r="K17"/>
          <cell r="L17"/>
          <cell r="M17"/>
          <cell r="N17"/>
        </row>
        <row r="18">
          <cell r="A18" t="str">
            <v>ID#15</v>
          </cell>
          <cell r="B18" t="str">
            <v xml:space="preserve">Koufu - Dim Sum                                     10, Sinaran Drive #04-14 to 19,56 to 73. Novena Square 2 Singapore 307506                                             </v>
          </cell>
          <cell r="C18"/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</row>
        <row r="19">
          <cell r="A19" t="str">
            <v>ID#16</v>
          </cell>
          <cell r="B19" t="str">
            <v xml:space="preserve">Koufu - Drink                                           10, Sinaran Drive #04-14 to 19,56 to 73. Novena Square 2  Singapore 307506                                       </v>
          </cell>
          <cell r="C19"/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</row>
        <row r="20">
          <cell r="A20" t="str">
            <v>ID#17</v>
          </cell>
          <cell r="B20" t="str">
            <v xml:space="preserve">Fork &amp; Spoon - Dessert                             10, Sinaran Drive #04-14 to 19,56 to 73. Novena Square 2 Singapore 307506                                            </v>
          </cell>
          <cell r="C20"/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</row>
        <row r="21">
          <cell r="A21" t="str">
            <v>ID#18</v>
          </cell>
          <cell r="B21" t="str">
            <v>Drink &amp; Dessert Stall/                          United Square Stall #07.                                          101 Thomson Road United Square #b1-02/57/59  Singapore 307591</v>
          </cell>
          <cell r="C21"/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</row>
        <row r="22">
          <cell r="A22" t="str">
            <v>ID#19</v>
          </cell>
          <cell r="B22" t="str">
            <v>Toast Junction                                         United Square Stall #07.                                       101 Thomson Road United Square. Singapore 307591</v>
          </cell>
          <cell r="C22"/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</row>
        <row r="23">
          <cell r="A23" t="str">
            <v>ID#20</v>
          </cell>
          <cell r="B23" t="str">
            <v>S111 Pte Ltd                                             26A, Kallang Place. Singapore 339212</v>
          </cell>
          <cell r="C23"/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</row>
        <row r="24">
          <cell r="A24" t="str">
            <v>ID#21</v>
          </cell>
          <cell r="B24" t="str">
            <v>Balestier Market Pte Ltd                       411, Balestier Road.                         Singapore 329930                                                (Drink Stall)</v>
          </cell>
          <cell r="C24"/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</row>
        <row r="25">
          <cell r="A25" t="str">
            <v>ID#22</v>
          </cell>
          <cell r="B25" t="str">
            <v>Ally McBean's Food Supply                       Block 115 Aljunied Ave 2 #01-53B Singapore 380115</v>
          </cell>
          <cell r="C25"/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</row>
        <row r="26">
          <cell r="A26" t="str">
            <v>ID#23</v>
          </cell>
          <cell r="B26" t="str">
            <v>Yu Kee Collective Pte Ltd                               32, Woodlands Terrace, Singapore 738452.</v>
          </cell>
          <cell r="C26"/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</row>
        <row r="27">
          <cell r="A27" t="str">
            <v>ID#24</v>
          </cell>
          <cell r="B27" t="str">
            <v>Dessert Station                                         270 Queen Street #01-41 Albert Centre. Singapore</v>
          </cell>
          <cell r="C27"/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</row>
        <row r="28">
          <cell r="A28" t="str">
            <v>ID#25</v>
          </cell>
          <cell r="B28" t="str">
            <v>甜甜                                                            Blk 28  Jalan Klinik  #09-43 Singapore  160028</v>
          </cell>
          <cell r="C28"/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</row>
        <row r="29">
          <cell r="A29" t="str">
            <v>ID#26</v>
          </cell>
          <cell r="B29" t="str">
            <v>Combined Stalls                                          No 1 Harbourfont Centre, Maritime Centre #03-01/04 Singapore 099253</v>
          </cell>
          <cell r="C29"/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</row>
        <row r="30">
          <cell r="A30" t="str">
            <v>ID#27</v>
          </cell>
          <cell r="B30" t="str">
            <v>Dessert First Pte Ltd                                   37, #01-407 Jalan Rummah Tinggi Singapore 150037</v>
          </cell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</row>
        <row r="31">
          <cell r="A31" t="str">
            <v>ID#28</v>
          </cell>
          <cell r="B31" t="str">
            <v xml:space="preserve">Koufu - Dim Sum                                                     Block 500, Toa Payoh Centre. Lorong 6     #02-30  Singapore 310500                                                                </v>
          </cell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</row>
        <row r="32">
          <cell r="A32" t="str">
            <v>ID#29</v>
          </cell>
          <cell r="B32" t="str">
            <v xml:space="preserve">Koufu- Dessert                                                         Block 500, Toa Payoh Centre. Lorong 6     #02-30   Singapore 310500                                         </v>
          </cell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</row>
        <row r="33">
          <cell r="A33" t="str">
            <v>ID#30</v>
          </cell>
          <cell r="B33" t="str">
            <v>Tea Tree Café Pte Ltd                               Block 4012, Ang Mo Kio Ave 10         #01-05 TechPlace 1 Singapore 569628</v>
          </cell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</row>
        <row r="34">
          <cell r="A34" t="str">
            <v>ID#31</v>
          </cell>
          <cell r="B34" t="str">
            <v xml:space="preserve">Koufu - (Dim sum)                                 180, Ang Mo Kio Ave 8. Block A unit 235 Nanyang Polythenic Singapore 569830                                    </v>
          </cell>
          <cell r="C34"/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</row>
        <row r="35">
          <cell r="A35" t="str">
            <v>ID#32</v>
          </cell>
          <cell r="B35" t="str">
            <v xml:space="preserve">Koufu - (Dessert)                                     180, Ang Mo Kio Ave 8. Block A unit 235 Nanyang Polythenic Singapore 569830                                      </v>
          </cell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</row>
        <row r="36">
          <cell r="A36" t="str">
            <v>id#33</v>
          </cell>
          <cell r="B36" t="str">
            <v>Combined Stalls                                    Junction 8. 9 Bishan Place                            #04-01. Junction 8 Shopping Centre. Singapore 579837</v>
          </cell>
          <cell r="C36"/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</row>
        <row r="37">
          <cell r="A37" t="str">
            <v>ID#34</v>
          </cell>
          <cell r="B37" t="str">
            <v>RED LANTERN RESTAURANT PTE LTD                  249 Sembawang Road   Singapore 758352</v>
          </cell>
          <cell r="C37"/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</row>
        <row r="38">
          <cell r="A38" t="str">
            <v>ID#35</v>
          </cell>
          <cell r="B38" t="str">
            <v>Fusionoplis one.                                           1 Fusionopolis Way Basement 2 #B2-02 Singapore 138632                                   (Fruit)</v>
          </cell>
          <cell r="C38"/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</row>
        <row r="39">
          <cell r="A39" t="str">
            <v>ID#36</v>
          </cell>
          <cell r="B39" t="str">
            <v>Fusionoplis one                                            1 Fusionopolis Way Basement 2    #B2-02 Singapore 138632                                    (Dessert)</v>
          </cell>
          <cell r="C39"/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</row>
        <row r="40">
          <cell r="A40" t="str">
            <v>ID#37</v>
          </cell>
          <cell r="B40" t="str">
            <v>Koufu - Fruit                                             370 Alexandra Road #01-20/21 Anchor Point Shopping Ctr Singapore 159953                      (Fruit)</v>
          </cell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</row>
        <row r="41">
          <cell r="A41" t="str">
            <v>ID#38</v>
          </cell>
          <cell r="B41" t="str">
            <v xml:space="preserve">Koufu - Dessert                                        370 Alexandra Road #01-20/21 Anchor Point Shopping Ctr Singapore 159953                      </v>
          </cell>
          <cell r="C41"/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</row>
        <row r="42">
          <cell r="A42" t="str">
            <v>ID#39</v>
          </cell>
          <cell r="B42" t="str">
            <v xml:space="preserve">Koufu - Fruit                                            535 Clementi Road Block 51, Level 2 Ngee Ann Polythenic NIC Singapore 599489                    </v>
          </cell>
          <cell r="C42"/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</row>
        <row r="43">
          <cell r="A43" t="str">
            <v>ID#40</v>
          </cell>
          <cell r="B43" t="str">
            <v xml:space="preserve">Koufu - Dim Sum                                    535 Clementi Road Block 51, Level 2 Ngee Ann Polythenic NIC Singapore 599489                    </v>
          </cell>
          <cell r="C43"/>
          <cell r="D43"/>
          <cell r="E43"/>
          <cell r="F43"/>
          <cell r="G43"/>
          <cell r="H43"/>
          <cell r="I43"/>
          <cell r="J43"/>
          <cell r="K43"/>
          <cell r="L43"/>
          <cell r="M43"/>
          <cell r="N43"/>
        </row>
        <row r="44">
          <cell r="A44" t="str">
            <v>ID#41</v>
          </cell>
          <cell r="B44" t="str">
            <v xml:space="preserve">Koufu - Dessert                                      535 Clementi Road Block 51, Level 2 Ngee Ann Polythenic NIC Singapore 599489                  </v>
          </cell>
          <cell r="C44"/>
          <cell r="D44"/>
          <cell r="E44"/>
          <cell r="F44"/>
          <cell r="G44"/>
          <cell r="H44"/>
          <cell r="I44"/>
          <cell r="J44"/>
          <cell r="K44"/>
          <cell r="L44"/>
          <cell r="M44"/>
          <cell r="N44"/>
        </row>
        <row r="45">
          <cell r="A45" t="str">
            <v>ID#42</v>
          </cell>
          <cell r="B45" t="str">
            <v>Jem Cook House                                           50, Jurong Gateway Road #05-01 JEMS Singapore 608549                                         (Fruit)</v>
          </cell>
          <cell r="C45"/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</row>
        <row r="46">
          <cell r="A46" t="str">
            <v>ID#43</v>
          </cell>
          <cell r="B46" t="str">
            <v>Jem cook House                                            50, Jurong Gateway Road #05-01 JEMS Singapore 608549                                         (Dim Sum)</v>
          </cell>
          <cell r="C46"/>
          <cell r="D46"/>
          <cell r="E46"/>
          <cell r="F46"/>
          <cell r="G46"/>
          <cell r="H46"/>
          <cell r="I46"/>
          <cell r="J46"/>
          <cell r="K46"/>
          <cell r="L46"/>
          <cell r="M46"/>
          <cell r="N46"/>
        </row>
        <row r="47">
          <cell r="A47" t="str">
            <v>ID#44</v>
          </cell>
          <cell r="B47" t="str">
            <v>Jem cook House                                                  50, Jurong Gateway Road #05-01 JEMS Singapore 608549                                          (Dessert)</v>
          </cell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</row>
        <row r="48">
          <cell r="A48" t="str">
            <v>ID#45</v>
          </cell>
          <cell r="B48" t="str">
            <v>Happy Hawker                                                   Block 132 Jurong East  #01-271      Singapore 600132                                               (Dessert)</v>
          </cell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</row>
        <row r="49">
          <cell r="A49" t="str">
            <v>ID#46</v>
          </cell>
          <cell r="B49" t="str">
            <v>1983 - A TASTE OF NANYANG                         9, WOODLANDS AVENUE 9.                       SOUTH FOOD COURT LEVER 2                SINGAPORE 738964</v>
          </cell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</row>
        <row r="50">
          <cell r="A50" t="str">
            <v>ID#47</v>
          </cell>
          <cell r="B50" t="str">
            <v xml:space="preserve">Koufu - Dessert                                        632, Bukit Batok Central #01-132 Singapore 650632                                                </v>
          </cell>
          <cell r="C50"/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</row>
        <row r="51">
          <cell r="A51" t="str">
            <v>ID#48</v>
          </cell>
          <cell r="B51" t="str">
            <v xml:space="preserve">Koufu - Drink                                                  1, Bukit Batok Central Link.                   #04-01 West Mall, Singapore 658713                                                            </v>
          </cell>
          <cell r="C51"/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</row>
        <row r="52">
          <cell r="A52" t="str">
            <v>ID#49</v>
          </cell>
          <cell r="B52" t="str">
            <v xml:space="preserve">Koufu - Dessert                                             1, Bukit Batok Central Link.                     #04-01 West Mall, Singapore 658713                                                          </v>
          </cell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</row>
        <row r="53">
          <cell r="A53" t="str">
            <v>ID#50</v>
          </cell>
          <cell r="B53" t="str">
            <v>Drink &amp; Dessert Stall                                 CCK Lots1 Stall #15.                                   21 Choa Chu Kang Ave 4, #04-15.               Lot One Shoppers Mall. Singapore 689812</v>
          </cell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</row>
        <row r="54">
          <cell r="A54" t="str">
            <v>ID#51</v>
          </cell>
          <cell r="B54" t="str">
            <v>Rasa Rasa Food Fiesta Restaurant  LLP       Block 160A, Jln Teck Whye         #01-01 Singapore 691160</v>
          </cell>
          <cell r="C54"/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</row>
        <row r="55">
          <cell r="A55" t="str">
            <v>ID#52</v>
          </cell>
          <cell r="B55" t="str">
            <v>NEW TRENDS                                                  Stall :  Blk 75, Toa Payoh 5, Food Centre #01-23, Singapore 310075</v>
          </cell>
          <cell r="C55"/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</row>
        <row r="56">
          <cell r="A56" t="str">
            <v>ID#53</v>
          </cell>
          <cell r="B56" t="str">
            <v xml:space="preserve">Koufu - Fruit                                                  Block 768 Woodlands Ave 6                 #01-30/31 Singapore 730768                        </v>
          </cell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</row>
        <row r="57">
          <cell r="A57" t="str">
            <v>ID#54</v>
          </cell>
          <cell r="B57" t="str">
            <v xml:space="preserve">Koufu - Drink                                                 Block 768 Woodlands Ave 6                     #01-30/31 Singapore 730768                         </v>
          </cell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</row>
        <row r="58">
          <cell r="A58" t="str">
            <v>ID#55</v>
          </cell>
          <cell r="B58" t="str">
            <v xml:space="preserve">Koufu - Dim Sum                                           Block 768 Woodlands Ave 6                 #01-30/31 Singapore 730768                          </v>
          </cell>
          <cell r="C58"/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</row>
        <row r="59">
          <cell r="A59" t="str">
            <v>ID#56</v>
          </cell>
          <cell r="B59" t="str">
            <v>Fork &amp; Spoon                                               Block 768 Woodlands Ave 6 #01-30/31 Singapore 730768                                         (Dessert)</v>
          </cell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</row>
        <row r="60">
          <cell r="A60" t="str">
            <v>ID#57</v>
          </cell>
          <cell r="B60" t="str">
            <v>Xi Yue Yuan Pte Ltd                                  Pionner Central, 1 Soon Lee Street #01-32 Singapore 627605</v>
          </cell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</row>
        <row r="61">
          <cell r="A61" t="str">
            <v>ID#58</v>
          </cell>
          <cell r="B61" t="str">
            <v xml:space="preserve">Spectrum Food Centre Pte Ltd               No.2 Woodlands Sector 1. #01-28  Woodlands Spectrum 1. Singapore 738068              </v>
          </cell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</row>
        <row r="62">
          <cell r="A62" t="str">
            <v>ID#59</v>
          </cell>
          <cell r="B62" t="str">
            <v>Tan Soon Mui Food Industries                       8, Woodlands Terrace. Singapore 738433.</v>
          </cell>
          <cell r="C62"/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</row>
        <row r="63">
          <cell r="A63" t="str">
            <v>ID#60</v>
          </cell>
          <cell r="B63" t="str">
            <v>Rasa Rasa Catering Services Pte Ltd    8A, Admiralty Street Food Exchange #04-08.                             Singapore 757437.</v>
          </cell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</row>
        <row r="64">
          <cell r="A64" t="str">
            <v>ID#61</v>
          </cell>
          <cell r="B64" t="str">
            <v>Ronnie Kitchen Pte Ltd                            8A, Admiralty Street Food Exchange      #06-07. Singapore 757437.</v>
          </cell>
          <cell r="C64"/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</row>
        <row r="65">
          <cell r="A65" t="str">
            <v>ID#62</v>
          </cell>
          <cell r="B65" t="str">
            <v>Wee Kee Catering Pte Ltd                       8A, Admiralty Street Food Exchange     #03-07. Singapore 757437.</v>
          </cell>
          <cell r="C65"/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</row>
        <row r="66">
          <cell r="A66" t="str">
            <v>ID#63</v>
          </cell>
          <cell r="B66" t="str">
            <v xml:space="preserve">Zhu Fang Ruo                                                11 Canberra Road #01-05. Singapore 759775.              </v>
          </cell>
          <cell r="C66"/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/>
        </row>
        <row r="67">
          <cell r="A67" t="str">
            <v>ID#64</v>
          </cell>
          <cell r="B67" t="str">
            <v xml:space="preserve">Balestier Market Pte Ltd                      411, Balestier Road.                          Singapore 329930                                      (Dessert Stall) </v>
          </cell>
          <cell r="C67"/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</row>
        <row r="68">
          <cell r="A68" t="str">
            <v>ID#65</v>
          </cell>
          <cell r="B68" t="str">
            <v>Yew Kee Collective Pte Ltd                               Kw Café, My Kampung. Kallang Wave Mall #02-16/K6. Singapore 397628</v>
          </cell>
          <cell r="C68"/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</row>
        <row r="69">
          <cell r="A69" t="str">
            <v>ID#66</v>
          </cell>
          <cell r="B69" t="str">
            <v>Dessert Station                                        52 Hougang St 11.                         CENTRAL VIEW TOWER 2               #13-07. Singapore 538750</v>
          </cell>
          <cell r="C69"/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</row>
        <row r="70">
          <cell r="A70" t="str">
            <v>ID#67</v>
          </cell>
          <cell r="B70" t="str">
            <v>梅林                                                             Changi Village Hawker Centre.                                         #01-57  Singapore 500002</v>
          </cell>
          <cell r="C70"/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</row>
        <row r="71">
          <cell r="A71" t="str">
            <v>ID#68</v>
          </cell>
          <cell r="B71" t="str">
            <v>梅林                                                             Block 425, #06-409 Tampines Street 41, Singapore 520425</v>
          </cell>
          <cell r="C71"/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</row>
        <row r="72">
          <cell r="A72" t="str">
            <v>ID#69</v>
          </cell>
          <cell r="B72" t="str">
            <v>滨海甜品                                                      Blk 248, Simei St 5. Singapore 520120</v>
          </cell>
          <cell r="C72"/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</row>
        <row r="73">
          <cell r="A73" t="str">
            <v>ID#70</v>
          </cell>
          <cell r="B73" t="str">
            <v>CHENDOL                                                          Blk 84, Marine Parade #01-09</v>
          </cell>
          <cell r="C73"/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</row>
        <row r="74">
          <cell r="A74" t="str">
            <v>ID#71</v>
          </cell>
          <cell r="B74" t="str">
            <v>S111 Pte Ltd                                              No 39, Greenwich Drive. #01-12  Blk 8, Tampines Logistics Hub  Singapore 533863.</v>
          </cell>
          <cell r="C74"/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</row>
        <row r="75">
          <cell r="A75" t="str">
            <v>ID#72</v>
          </cell>
          <cell r="B75" t="str">
            <v>S111 Beverage Pte Ltd                            No 61, Tai Seng Ave. Singapore 534167</v>
          </cell>
          <cell r="C75"/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</row>
        <row r="76">
          <cell r="A76" t="str">
            <v>ID#73</v>
          </cell>
          <cell r="B76" t="str">
            <v xml:space="preserve">Koufu - Dim Sum                                     Block 118 Rivervale Drive,                  #02-15/16 Rivervale Plaza     Singapore 540118                              </v>
          </cell>
          <cell r="C76"/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</row>
        <row r="77">
          <cell r="A77" t="str">
            <v>ID#74</v>
          </cell>
          <cell r="B77" t="str">
            <v xml:space="preserve">Koufu - Drink                                         Sengkang General Community Hospital. 1 Anchorvale Street #01-21 S'pore 544835                                                                     </v>
          </cell>
          <cell r="C77"/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</row>
        <row r="78">
          <cell r="A78" t="str">
            <v>ID#75</v>
          </cell>
          <cell r="B78" t="str">
            <v xml:space="preserve">Koufu - Dessert                                    Sengkang General Community Hospital. 1 Anchorvale Street #01-21 S'pore 544835                                                                   </v>
          </cell>
          <cell r="C78"/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</row>
        <row r="79">
          <cell r="A79" t="str">
            <v>ID#76</v>
          </cell>
          <cell r="B79" t="str">
            <v xml:space="preserve">Koufu - Dim Sum                                   Sengkang General Community Hospital. 1 Anchorvale Street #01-21 S'pore 544835                                                           </v>
          </cell>
          <cell r="C79"/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</row>
        <row r="80">
          <cell r="A80" t="str">
            <v>ID#77</v>
          </cell>
          <cell r="B80" t="str">
            <v>Toast Junction                                         NEX Stall #MR3, 23 Serangoon Central #04-16. Nex Shopping Mall. Singapore 556083</v>
          </cell>
          <cell r="C80"/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</row>
        <row r="81">
          <cell r="A81" t="str">
            <v>ID#78</v>
          </cell>
          <cell r="B81" t="str">
            <v>Juice Stall                                                    Jewel Changi Airport. Five Spice, Stall #01. 78, Airport Boulevard. #B2-238/239/240. (819666)</v>
          </cell>
          <cell r="C81"/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</row>
        <row r="82">
          <cell r="A82" t="str">
            <v>ID#79</v>
          </cell>
          <cell r="B82" t="str">
            <v xml:space="preserve"> Punggol OASIS (Gourmet Paradise)      681 Punggol Drive #04-01               OASIS Terraces, Singapore 820681</v>
          </cell>
          <cell r="C82"/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</row>
        <row r="83">
          <cell r="A83" t="str">
            <v>ID#80</v>
          </cell>
          <cell r="B83" t="str">
            <v xml:space="preserve">Koufu - Dessert                                              Block 168 Punggol Field #01-01      Punggol Plaza Singapore 820168               </v>
          </cell>
          <cell r="C83"/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</row>
        <row r="84">
          <cell r="A84" t="str">
            <v>ID#81</v>
          </cell>
          <cell r="B84" t="str">
            <v>WaterWay Point                                            83 Punggol Central #02-20/21 Singapore 828761                               (Dessert)</v>
          </cell>
          <cell r="C84"/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</row>
        <row r="85">
          <cell r="A85" t="str">
            <v>ID#82</v>
          </cell>
          <cell r="B85" t="str">
            <v xml:space="preserve">Koufu - Drink                                            Block 747 Yishun 72. #01-108 Singapore 760747                                                            </v>
          </cell>
          <cell r="C85"/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</row>
        <row r="86">
          <cell r="A86" t="str">
            <v>ID#83</v>
          </cell>
          <cell r="B86" t="str">
            <v xml:space="preserve">Koufu - Dim Sum                                    Block 747 Yishun 72. #01-108 Singapore 760747                                                          </v>
          </cell>
          <cell r="C86"/>
          <cell r="D86"/>
          <cell r="E86"/>
          <cell r="F86"/>
          <cell r="G86"/>
          <cell r="H86"/>
          <cell r="I86"/>
          <cell r="J86"/>
          <cell r="K86"/>
          <cell r="L86"/>
          <cell r="M86"/>
          <cell r="N86"/>
        </row>
        <row r="87">
          <cell r="A87" t="str">
            <v>ID#84</v>
          </cell>
          <cell r="B87" t="str">
            <v xml:space="preserve">ECREATIVE CATERING PTE LTD             Blk 15, Woodlands Loop                      #04-33   Singapore 738322                                    </v>
          </cell>
          <cell r="C87"/>
          <cell r="D87"/>
          <cell r="E87"/>
          <cell r="F87"/>
          <cell r="G87"/>
          <cell r="H87"/>
          <cell r="I87"/>
          <cell r="J87"/>
          <cell r="K87"/>
          <cell r="L87"/>
          <cell r="M87"/>
          <cell r="N87"/>
        </row>
        <row r="88">
          <cell r="A88" t="str">
            <v>ID#85</v>
          </cell>
          <cell r="B88" t="str">
            <v>Block 15, Woodlands Loop                #04-36. Singapore 738322.</v>
          </cell>
          <cell r="C88"/>
          <cell r="D88"/>
          <cell r="E88"/>
          <cell r="F88"/>
          <cell r="G88"/>
          <cell r="H88"/>
          <cell r="I88"/>
          <cell r="J88"/>
          <cell r="K88"/>
          <cell r="L88"/>
          <cell r="M88"/>
          <cell r="N88"/>
        </row>
        <row r="89">
          <cell r="A89" t="str">
            <v>ID#86</v>
          </cell>
          <cell r="B89" t="str">
            <v xml:space="preserve">KOPITIAM INVESTMENT PTE LTD                      Block 15, Woodlands Loop.                #01-28, Singapore   738322.           </v>
          </cell>
          <cell r="C89"/>
          <cell r="D89"/>
          <cell r="E89"/>
          <cell r="F89"/>
          <cell r="G89"/>
          <cell r="H89"/>
          <cell r="I89"/>
          <cell r="J89"/>
          <cell r="K89"/>
          <cell r="L89"/>
          <cell r="M89"/>
          <cell r="N89"/>
        </row>
        <row r="90">
          <cell r="A90" t="str">
            <v>ID#87</v>
          </cell>
          <cell r="B90" t="str">
            <v>Dessert Delight                                          Blk 162, Tampines Street #05-239 Singapore 521162</v>
          </cell>
          <cell r="C90"/>
          <cell r="D90"/>
          <cell r="E90"/>
          <cell r="F90"/>
          <cell r="G90"/>
          <cell r="H90"/>
          <cell r="I90"/>
          <cell r="J90"/>
          <cell r="K90"/>
          <cell r="L90"/>
          <cell r="M90"/>
          <cell r="N90"/>
        </row>
        <row r="91">
          <cell r="A91" t="str">
            <v>ID#88</v>
          </cell>
          <cell r="B91" t="str">
            <v>DRINK &amp; DESSERT STALL                                                     Nex 23 Serangoon Central                                   #04-16. Nex Shopping Mall. Singapore 556083</v>
          </cell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</row>
        <row r="92">
          <cell r="A92" t="str">
            <v>ID#89</v>
          </cell>
          <cell r="B92" t="str">
            <v>COMBINED STALL/CENTURY SQUARE STALL #01                                                          2,  Tampines Central 5, #03-20 Century Square</v>
          </cell>
          <cell r="C92"/>
          <cell r="D92"/>
          <cell r="E92"/>
          <cell r="F92"/>
          <cell r="G92"/>
          <cell r="H92"/>
          <cell r="I92"/>
          <cell r="J92"/>
          <cell r="K92"/>
          <cell r="L92"/>
          <cell r="M92"/>
          <cell r="N92"/>
        </row>
        <row r="93">
          <cell r="A93" t="str">
            <v>ID#90</v>
          </cell>
          <cell r="B93" t="str">
            <v>Tong Shui Desserts                                     101, Upper Cross Street #02-49.                   People's Park Centre, Singapore 058357</v>
          </cell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  <cell r="N93"/>
        </row>
        <row r="94">
          <cell r="A94" t="str">
            <v>ID#91</v>
          </cell>
          <cell r="B94" t="str">
            <v>Soon Soon Soon Wenton Noodles                           1 Pasir Ris Down Town East                      EHUB #02-109  Singapore 519599</v>
          </cell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/>
        </row>
        <row r="95">
          <cell r="A95" t="str">
            <v>ID#92</v>
          </cell>
          <cell r="B95" t="str">
            <v>小福                                                            SPH. 1000 Toa Payoh North. #07 Singapore 318994</v>
          </cell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</row>
        <row r="96">
          <cell r="A96" t="str">
            <v>ID#93</v>
          </cell>
          <cell r="B96" t="str">
            <v>K&amp;B                                                                  Blk 15, Woodland Loop.                           #03-10 Singapore 738322</v>
          </cell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</row>
        <row r="97">
          <cell r="A97" t="str">
            <v>ID#94</v>
          </cell>
          <cell r="B97" t="str">
            <v>S. MARCO FOOD TRADING PTE LTD            39, Woodlands Close #05-27/28/29 Singapore 737856</v>
          </cell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</row>
        <row r="98">
          <cell r="A98" t="str">
            <v>ID#95</v>
          </cell>
          <cell r="B98" t="str">
            <v>Soon Soon Soon Food Holding                 652 Geylang Lorong 40. Singapore</v>
          </cell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</row>
        <row r="99">
          <cell r="A99" t="str">
            <v>ID#96</v>
          </cell>
          <cell r="B99" t="str">
            <v>Hawker Way pte Ltd                                                     Blk 271, Bukit Batok Avenue 4                                 #01-160    Singapore</v>
          </cell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</row>
        <row r="100">
          <cell r="A100" t="str">
            <v>ID#97</v>
          </cell>
          <cell r="B100" t="str">
            <v>Jem Cook House                                           50, Jurong Gateway Road #05-01 JEMS Singapore 608549                                         (DRINK)</v>
          </cell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</row>
        <row r="101">
          <cell r="A101" t="str">
            <v>ID#99</v>
          </cell>
          <cell r="B101" t="str">
            <v>HAO KOU WEI PTE LTD                          16A Sungei Kadut Way                    Singapore 728794</v>
          </cell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</row>
        <row r="102">
          <cell r="A102" t="str">
            <v>ID#100</v>
          </cell>
          <cell r="B102" t="str">
            <v>HAO KOU WEI PTE LTD                          Blk 272 Bakit Batok #01-56            Singapore</v>
          </cell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</row>
        <row r="103">
          <cell r="A103" t="str">
            <v>ID#101</v>
          </cell>
          <cell r="B103" t="str">
            <v>Koufu -喜多福                                                 Blk 267 Compassvale Link                           #01-02 Singapore 540267</v>
          </cell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</row>
        <row r="104">
          <cell r="A104" t="str">
            <v>ID#102</v>
          </cell>
          <cell r="B104" t="str">
            <v>Combined Stall                                      Bugis Stall #16. 200 Victoria Street     #03-30. Bugis Junction. Singapore 188021</v>
          </cell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</row>
        <row r="105">
          <cell r="A105" t="str">
            <v>ID#103</v>
          </cell>
          <cell r="B105" t="str">
            <v xml:space="preserve">Koufu - WoodGrove                                30, Woodlands Ave 1 #01-11 Singapore 739065     (Drink)                               </v>
          </cell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</row>
        <row r="106">
          <cell r="A106" t="str">
            <v>ID#104</v>
          </cell>
          <cell r="B106" t="str">
            <v xml:space="preserve">Koufu - WoodGrove                                30, Woodlands Ave 1 #01-11 Singapore 739065     (Dim Sum)                               </v>
          </cell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</row>
        <row r="107">
          <cell r="A107" t="str">
            <v>ID#105</v>
          </cell>
          <cell r="B107" t="str">
            <v>Asia Dessert Marketing                                       Blk 3020, Ubi Avenue 2 #02-125 Singapore 408896</v>
          </cell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</row>
        <row r="108">
          <cell r="A108" t="str">
            <v>ID#106</v>
          </cell>
          <cell r="B108" t="str">
            <v>龙马                                                             270 Queen Street #03-50 Albert Centre. Singapore</v>
          </cell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</row>
        <row r="109">
          <cell r="A109" t="str">
            <v>ID#107</v>
          </cell>
          <cell r="B109" t="str">
            <v xml:space="preserve">Specturm Food Centre Pte Ltd               134, Tagore Lane Sindo Industrial Estate Singapore 787557           </v>
          </cell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</row>
        <row r="110">
          <cell r="A110" t="str">
            <v>ID#108</v>
          </cell>
          <cell r="B110" t="str">
            <v>青草园　　　　　　　　　　       Blk 120, Bukit Merah Lane 1               #01-73 Singapore 150120</v>
          </cell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</row>
        <row r="111">
          <cell r="A111" t="str">
            <v>ID#109</v>
          </cell>
          <cell r="B111" t="str">
            <v>Tel: 90087698                                         690 Upper changi Road East #B3-02. Upper Changi MRT Station Singapore 485990</v>
          </cell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</row>
        <row r="112">
          <cell r="A112" t="str">
            <v>ID#110</v>
          </cell>
          <cell r="B112" t="str">
            <v>好口味                                               Blk 272 Bakit Batok East Ave 4                 Singapore 650271.</v>
          </cell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</row>
        <row r="113">
          <cell r="A113" t="str">
            <v>ID#111</v>
          </cell>
          <cell r="B113" t="str">
            <v>福山满                                                101, Upper Cross Street #B1. People's Park Centre Singapore 058357</v>
          </cell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 t="str">
            <v>ID#112</v>
          </cell>
          <cell r="B114" t="str">
            <v>好口味                                               Blk 272 Bakit Batok East Ave 4                 Singapore 650272.</v>
          </cell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 t="str">
            <v>ID#113</v>
          </cell>
          <cell r="B115" t="str">
            <v>优华                                                        Blk 15, Woodland Loop #03-50                            Singapore 738322</v>
          </cell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 t="str">
            <v>ID#114</v>
          </cell>
          <cell r="B116" t="str">
            <v xml:space="preserve">Tel: 90294611                                   Block 417  Yishun Avenue 11. Singapore                                                       </v>
          </cell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 t="str">
            <v>ID#115</v>
          </cell>
          <cell r="B117" t="str">
            <v>Lion City Copi &amp; Toast Pte Ltd                  101, Upper Cross Street                        #02-48. People's Park Centre                    Singapore 058357</v>
          </cell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 t="str">
            <v>id#116</v>
          </cell>
          <cell r="B118" t="str">
            <v>Hee Tea                                                                 35 Robinson Road #01-04                                 Singapore 068898</v>
          </cell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 t="str">
            <v>ID#117</v>
          </cell>
          <cell r="B119" t="str">
            <v>Hee Tea                                                   Blk 38, Mar Thoma  Road. Riviera Condominium #09-02 Singapore 328712</v>
          </cell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 t="str">
            <v>ID#118</v>
          </cell>
          <cell r="B120" t="str">
            <v xml:space="preserve">Whampoa Soya Bean                            Blk 221B Boon Lay Hawker Centre. #01-133 </v>
          </cell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 t="str">
            <v>ID#119</v>
          </cell>
          <cell r="B121" t="str">
            <v>HOLLYWOOD                                             Blk 221B Boon Lay Hawker Centre. #01-130</v>
          </cell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 t="str">
            <v>Id#120</v>
          </cell>
          <cell r="B122" t="str">
            <v xml:space="preserve">狮城咖啡                                                           People Park Centre, #02-48.                                       </v>
          </cell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 t="str">
            <v>ID#121</v>
          </cell>
          <cell r="B123" t="str">
            <v xml:space="preserve">Koufu - FRUIT                                                 1, Bukit Batok Central Link.                     #04-01 West Mall, Singapore 658713                                                          </v>
          </cell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 t="str">
            <v>ID#122</v>
          </cell>
          <cell r="B124" t="str">
            <v>CHEF RICKSON'S KITCHEN (Ally)                  200, Turf Club Road Singapore 287994</v>
          </cell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 t="str">
            <v>ID#123</v>
          </cell>
          <cell r="B125" t="str">
            <v>IVY LIM 94881981                                                          50-A Lorong Marican Singapore 417233</v>
          </cell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 t="str">
            <v>ID#124</v>
          </cell>
          <cell r="B126" t="str">
            <v>Fine Food @the south Spine                    50, Nanyang Avenue South Spine Food Court Canteen B, Singapore 639798</v>
          </cell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 t="str">
            <v>ID#125</v>
          </cell>
          <cell r="B127" t="str">
            <v>HENG HENG FOOD SINGAPORE                                                           Turf Club. 1 Turf Club Avenue Singapore Racecourse Singapore 738078</v>
          </cell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 t="str">
            <v>ID#126</v>
          </cell>
          <cell r="B128" t="str">
            <v>BB Tea House                                          Block 640, Yishun #01-200 Singapore</v>
          </cell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 t="str">
            <v>ID#127</v>
          </cell>
          <cell r="B129" t="str">
            <v xml:space="preserve">Koufu - WoodGrove                                30, Woodlands Ave 1 #01-11 Singapore 739065     (DESSERT COUNTER)                               </v>
          </cell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 t="str">
            <v>ID#128</v>
          </cell>
          <cell r="B130" t="str">
            <v>TEL: 91548191                                                                                          462 Crawford Lane #01-61 Singapore 190462</v>
          </cell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 t="str">
            <v>ID#129</v>
          </cell>
          <cell r="B131" t="str">
            <v>Koufu Yew Tee Point                                21, Choa Chu Kang North 6, #B1-17 to 22 Yew Tee Point.  Singapore 689578  (Dessert)</v>
          </cell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 t="str">
            <v>ID#130</v>
          </cell>
          <cell r="B132" t="str">
            <v>Happy Hawkers Kopitiam                    622D Punggol Central,                      Singapore 824622.                                   Tim Sum Counter</v>
          </cell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 t="str">
            <v>ID#131</v>
          </cell>
          <cell r="B133" t="str">
            <v>Happy Hawkers Kopitiam                   622D Punggol Central,                       Singapore 824622.                                  Drink Counter</v>
          </cell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 t="str">
            <v>ID#132</v>
          </cell>
          <cell r="B134" t="str">
            <v>STEAM (OFC) PTE LTD                           10, Collyer Quay #B1-10 Ocean Financial Centre Singapore 049315</v>
          </cell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 t="str">
            <v>ID#133</v>
          </cell>
          <cell r="B135" t="str">
            <v>WaterWay Point                                            83 Punggol Central #02-20/21 Singapore 828761                               (DRINK STALL)</v>
          </cell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 t="str">
            <v>ID#134</v>
          </cell>
          <cell r="B136" t="str">
            <v xml:space="preserve">FORK &amp; SPOON - Dessert                          470, Lorong 6 Toa Payoh #02-70 Singapore 310470.                                            </v>
          </cell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 t="str">
            <v>ID#135</v>
          </cell>
          <cell r="B137" t="str">
            <v>Drink &amp; DESSERT Stall                       11, Rivervale Crescent #01-01/02/03 Rivervale Mall Singapore 545082</v>
          </cell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 t="str">
            <v>ID#136</v>
          </cell>
          <cell r="B138" t="str">
            <v>777 Jurong Gateway                                 50 Jurong Gatway Road.            #05-02 Singapore                           (Dessert Counter)</v>
          </cell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 t="str">
            <v>ID#137</v>
          </cell>
          <cell r="B139" t="str">
            <v>STEVEN                                                             511, Sembawang Market #01-15 Singapore 750511</v>
          </cell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 t="str">
            <v>ID#138</v>
          </cell>
          <cell r="B140" t="str">
            <v>TEL: 83093665                                                                                            Blk 642, Bukit Batok Central #01-54/56 Singapore 650642.</v>
          </cell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 t="str">
            <v>ID#139</v>
          </cell>
          <cell r="B141" t="str">
            <v>KSY TEL: 94313399                                                         #01-173 Pasir Panjang Wholesale Centre, Singapore 110023</v>
          </cell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 t="str">
            <v>ID#140</v>
          </cell>
          <cell r="B142" t="str">
            <v>LEONG HIN FOODS PTE LTD                 #04-57 Blk 15  Woodland Loop singapore 738322</v>
          </cell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 t="str">
            <v>ID#141</v>
          </cell>
          <cell r="B143" t="str">
            <v>Zhonghua Cafe 92998953                                 51 Upper Bukit Timah MARKET #02-124 S588215</v>
          </cell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 t="str">
            <v>ID#142</v>
          </cell>
          <cell r="B144" t="str">
            <v>ZEEMART PTE LTD                                   91, McNair Road                                                Singapore 328559</v>
          </cell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 t="str">
            <v>ID#143</v>
          </cell>
          <cell r="B145" t="str">
            <v>Hock Seng Food Pte ltd                                   267 Pandan Loop                                                 Singapore 128439</v>
          </cell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 t="str">
            <v>ID#144</v>
          </cell>
          <cell r="B146" t="str">
            <v>Alistar                                                                Blk 15, Woodland Loop.                           #01-21 Singapore 738322</v>
          </cell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 t="str">
            <v>ID#145</v>
          </cell>
          <cell r="B147" t="str">
            <v>Café 107 Pte Ltd                                                                             107 Serangoon North Ave 1, #01-671 Singapore 550107.</v>
          </cell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 t="str">
            <v>ID#146</v>
          </cell>
          <cell r="B148" t="str">
            <v>CHEF RICKSON'S KITCHEN (Ally)                  Blk 4011, Ang Mo Kio Avenue 10, Techplace 1. Stall 10-11 Singapore 569627</v>
          </cell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 t="str">
            <v>ID#147</v>
          </cell>
          <cell r="B149" t="str">
            <v>Chun Hong Enterprise Pte Ltd                                No 15, Senoko Drive #04-09 Singapore 758202</v>
          </cell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 t="str">
            <v>ID#148</v>
          </cell>
          <cell r="B150" t="str">
            <v>Soon Soon Soon Food Holding                 119 Lavender Street, Singapore 338731</v>
          </cell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 t="str">
            <v>ID#149</v>
          </cell>
          <cell r="B151" t="str">
            <v>Circle In The Box                                                                            183 Jalan Pelikat, The Promonade        B1-28. Singapore 537643</v>
          </cell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 t="str">
            <v>ID#150</v>
          </cell>
          <cell r="B152" t="str">
            <v>WaterWay Point                                            83 Punggol Central #02-20/21 Singapore 828761                               (DIM SUM STALL)</v>
          </cell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 t="str">
            <v>ID#151</v>
          </cell>
          <cell r="B153" t="str">
            <v>YAMMIE TAIWAN SNACK                                11, CANBERRA ROAD #01-05 SEMBAWANG MRT STATION S (759775)</v>
          </cell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 t="str">
            <v>ID#152</v>
          </cell>
          <cell r="B154" t="str">
            <v xml:space="preserve">KOUFU PTE LTD                                     BLK 671, Edgefield Plains  #01-01                  Singapore 820671              </v>
          </cell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 t="str">
            <v>ID#153</v>
          </cell>
          <cell r="B155" t="str">
            <v xml:space="preserve">Dessert Stall 10                                          Catholic Junior College.                                 129 Whitley Road                                     Singapore 297822                                                                                      </v>
          </cell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 t="str">
            <v>ID#154</v>
          </cell>
          <cell r="B156" t="str">
            <v xml:space="preserve">Koufu Pte Ltd                                           Drink Stall. Republic Polytechnic.           South Foodcourt.                                           31 Woodland Ave 9                                  Singapore 737909                                                                            </v>
          </cell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 t="str">
            <v>ID#155</v>
          </cell>
          <cell r="B157" t="str">
            <v>CHEF RICKSON'S KITCHEN (Ally)                  Blk 177, Bishan Street 13 #04-177 Singapore 570177</v>
          </cell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 t="str">
            <v>ID#156</v>
          </cell>
          <cell r="B158" t="str">
            <v>RASA RASA @ SENGKANG PTE LTD                                               BLK 278D, Compassvale Bow #01-05 Singapore 544278</v>
          </cell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 t="str">
            <v>ID#157</v>
          </cell>
          <cell r="B159" t="str">
            <v>Rong Hua Desserts                                             Blk 10, Ubi Crescent #01-04.                          Ubi Tech Park Singapore 408564</v>
          </cell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 t="str">
            <v>ID#158</v>
          </cell>
          <cell r="B160" t="str">
            <v xml:space="preserve">Foodgle Hub Pte Ltd                                               2 Ang Mo Kio Drive                                         Singapore 567720   </v>
          </cell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 t="str">
            <v>ID#159</v>
          </cell>
          <cell r="B161" t="str">
            <v xml:space="preserve">Koufu Pte Ltd- DRINK STALL                                      Millenia Walk, 9 Raffle Boulevard #01-46                                                    Singapore 039596                                                                        </v>
          </cell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 t="str">
            <v>ID#160</v>
          </cell>
          <cell r="B162" t="str">
            <v>Comme Me Das                                                                                   2 Venture Drive, Vision Exchange #01-40          Singapore 608526</v>
          </cell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 t="str">
            <v>ID#161</v>
          </cell>
          <cell r="B163" t="str">
            <v>HOME TOWN PTE LTD                                                                    Blk 15, Woodlands Loop.                                      #01-59 Singapore 738322</v>
          </cell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 t="str">
            <v>ID#162</v>
          </cell>
          <cell r="B164" t="str">
            <v xml:space="preserve">MICHELLE                                                         56, MINBU ROAD #03-01                                        SINGAPORE 308185          </v>
          </cell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 t="str">
            <v>ID#163</v>
          </cell>
          <cell r="B165" t="str">
            <v xml:space="preserve">PS Seiko Pte Ltd                                                    2, Woodlands Sector, #05-23/25 Woodlands Spectrum 1                                     SINGAPORe 738068          </v>
          </cell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 t="str">
            <v>ID#164</v>
          </cell>
          <cell r="B166" t="str">
            <v xml:space="preserve">Koufu - DIM SUM                                          Block 168 Punggol Field #01-01      Punggol Plaza Singapore 820168               </v>
          </cell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 t="str">
            <v>ID#165</v>
          </cell>
          <cell r="B167" t="str">
            <v xml:space="preserve">GOODWOOF PTE. LTD.              202214489W                                                31 Woodlands Close #06-16        Singapore 737855          </v>
          </cell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 t="str">
            <v>ID#166</v>
          </cell>
          <cell r="B168" t="str">
            <v>FOOD REPUBLIC PTE LTD                                  Serangoon Nex@JUICE BAR                    23, Serangoon Central #B2-63                      Singapore 550683</v>
          </cell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 t="str">
            <v>ID#167</v>
          </cell>
          <cell r="B169" t="str">
            <v xml:space="preserve">FOOD REPUBLIC PTE LTD                                   ION Orchard @ Juice Bar No: #26               2, Orchard Turn #B4-03/04        Singapore 238801                                           </v>
          </cell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 t="str">
            <v>ID#168</v>
          </cell>
          <cell r="B170" t="str">
            <v xml:space="preserve">FOOD REPUBLIC PTE LTD                                   Shaw Lido Orchard@ Juice Bar No 7                     1, Scotts Road #B1-01 Shaw Centre        Singapore 228208                                 </v>
          </cell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 t="str">
            <v>ID#169</v>
          </cell>
          <cell r="B171" t="str">
            <v xml:space="preserve">FOOD REPUBLIC PTE LTD                                   Shaw Lido Orchard@ICE shop                    1, Scotts Road #B1-01 Shaw Centre        Singapore 228208                                 </v>
          </cell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 t="str">
            <v>ID#170</v>
          </cell>
          <cell r="B172" t="str">
            <v xml:space="preserve">FOOD REPUBLIC PTE LTD                        Wisma Atria Orchard@Juice Bar  .          435 Orchard Road #04-02    Wisma Atria Singapore 238877                           </v>
          </cell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 t="str">
            <v>ID#171</v>
          </cell>
          <cell r="B173" t="str">
            <v xml:space="preserve">FOOD REPUBLIC PTE LTD                                   Vivo City @Juice Bar #20                                         1, Harbourfront Walk #03-01, VivoCity   Singapore 098585                           </v>
          </cell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 t="str">
            <v>ID#172</v>
          </cell>
          <cell r="B174" t="str">
            <v xml:space="preserve">FOOD REPUBLIC PTE LTD                                  Causeway Point @Juice Bar, Woodlands Square #04-01 Causeway Point Singapore 738099                                                        </v>
          </cell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 t="str">
            <v>ID#173</v>
          </cell>
          <cell r="B175" t="str">
            <v xml:space="preserve">FOOD REPUBLIC PTE LTD                                  Somerset Orchard@Juice Bar No: 17   313 Orchard Road #05-01                Singapore 238895                           </v>
          </cell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 t="str">
            <v>ID#174</v>
          </cell>
          <cell r="B176" t="str">
            <v xml:space="preserve">FOOD REPUBLIC PTE LTD                                   Westgate @ Juice Bar No 18A                      3 Gateway Drive #B1-28/29            Singapore 608532                           </v>
          </cell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 t="str">
            <v>ID#175</v>
          </cell>
          <cell r="B177" t="str">
            <v xml:space="preserve">FOOD REPUBLIC PTE LTD                                   Parkway Parade @Juice Bar                     80 Marine Parade Road #B1-85        Singapore 449269                            </v>
          </cell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 t="str">
            <v>ID#176</v>
          </cell>
          <cell r="B178" t="str">
            <v xml:space="preserve">FOOD REPUBLIC PTE LTD                                  City Square@Drink Stall No: 14A                180 Kitchener Road #04-31                     City Square Mall, Singapore 208539                                               </v>
          </cell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 t="str">
            <v>ID#177</v>
          </cell>
          <cell r="B179" t="str">
            <v xml:space="preserve">FOOD REPUBLIC PTE LTD                                  IHQ Tai Seng @Drink Stall No 02              30, Tai Seng Street #01-06            Breadtalk IHQ,   Singapore 534013                            </v>
          </cell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 t="str">
            <v>ID#178</v>
          </cell>
          <cell r="B180" t="str">
            <v xml:space="preserve">FOOD REPUBLIC PTE LTD                                   Suntec City@Juice Bar                                            3, Temasek Boulevard #B1-115             Suntec City Mall Singapore 038983                          </v>
          </cell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 t="str">
            <v>ID#179</v>
          </cell>
          <cell r="B181" t="str">
            <v>SELETAR COUNTRY CLUB                                   101, Seletar Club Road. Singapore 798273</v>
          </cell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 t="str">
            <v>ID#180</v>
          </cell>
          <cell r="B182" t="str">
            <v>KEN HONG SENG PTE LTD                                   15, WOODLANDS LOOP #01-58/60 SINGAPORE 738322</v>
          </cell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 t="str">
            <v>ID#181</v>
          </cell>
          <cell r="B183" t="str">
            <v xml:space="preserve">FMD CENTRAL KITCHEN HOT                           10, SENOKO WAY                                LEVEL3    SINGAPORE 758031                  </v>
          </cell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 t="str">
            <v>ID#182</v>
          </cell>
          <cell r="B184" t="str">
            <v xml:space="preserve">DELI ASIA (S) PTE LTD                                      1, Woodlands Height #01-03                             SINGAPORE 737859                  </v>
          </cell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 t="str">
            <v>ID#183</v>
          </cell>
          <cell r="B185" t="str">
            <v xml:space="preserve">TEL: 90087698                                                 6 Changi Business Park Avenue 1,                  #01-23 ESR BizPark @Changi                Singapore 486017                </v>
          </cell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 t="str">
            <v>ID#184</v>
          </cell>
          <cell r="B186" t="str">
            <v xml:space="preserve">Yew Ming Trading Pte Ltd                                               Blk Pasir Panjang Wholesale Centre               #01-108/109            Singapore 110017             </v>
          </cell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 t="str">
            <v>ID#185</v>
          </cell>
          <cell r="B187" t="str">
            <v xml:space="preserve">Da Pai Dang Dessert                                               37A Teban Gardens Food Centre                               #01-16  Singapore 110017             </v>
          </cell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 t="str">
            <v>ID#186</v>
          </cell>
          <cell r="B188" t="str">
            <v xml:space="preserve"> Punggol OASIS (Gourmet Paradise)                 681 Punggol Drive #04-01 OASIS Terraces Singapore 820681  (Drink Stall)</v>
          </cell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 t="str">
            <v>ID#187</v>
          </cell>
          <cell r="B189" t="str">
            <v>R&amp;B TEA SINGAPORE                                                        30 SEMBAWANG DRIVE #B1-38 SUN PLAZA, SINGAPORE 757713</v>
          </cell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 t="str">
            <v>ID#188</v>
          </cell>
          <cell r="B190" t="str">
            <v xml:space="preserve">R&amp;B TEA SINGAPORE                                                         SINOPEC, 150 WOODLANDS AVENUE 5  SINGAPORE 739375             </v>
          </cell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 t="str">
            <v>ID#189</v>
          </cell>
          <cell r="B191" t="str">
            <v>R&amp;B TEA SINGAPORE                                  2 BAYFRONT AVENUE #B2-49/53 MARINA BAY SANDS, SINGAPORE 018972</v>
          </cell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 t="str">
            <v>ID#190</v>
          </cell>
          <cell r="B192" t="str">
            <v>R&amp;B TEA SINGAPORE                                                         NTU, 76 NANYANG DRIVE #02-03 SINGAPORE 637331</v>
          </cell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 t="str">
            <v>ID#191</v>
          </cell>
          <cell r="B193" t="str">
            <v>R&amp;B TEA SINGAPORE                                                         9 RAFFLES BOULEVARD #01-K15 MILLENIA WALK, SINGAPORE 039596</v>
          </cell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 t="str">
            <v>ID#192</v>
          </cell>
          <cell r="B194" t="str">
            <v>R&amp;B TEA SINGAPORE                                                         21 CHOA CHU KANG NORTH #01-49/50 YEW TEE POINT, SINGAPORE 689578</v>
          </cell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 t="str">
            <v>ID#193</v>
          </cell>
          <cell r="B195" t="str">
            <v>Tiong Bahru Soya Bean                                                        52 Tiong Bahru Road #02-63.    Singapore 168716</v>
          </cell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 t="str">
            <v>ID#194</v>
          </cell>
          <cell r="B196" t="str">
            <v>R&amp;B TEA SINGAPORE                                                         20 TAMPINES CENTRAL #01-18 TAMPINES MRT, SINGAPORE 529538</v>
          </cell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 t="str">
            <v>ID#195</v>
          </cell>
          <cell r="B197" t="str">
            <v>R&amp;B TEA SINGAPORE                                                       470 TOA PAYOH LORONG 6 SINGAPORE 310470</v>
          </cell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 t="str">
            <v>ID#196</v>
          </cell>
          <cell r="B198" t="str">
            <v>R&amp;B TEA SINGAPORE                                                      991 BUANGKOK LINK #01-27 SINGAPORE 530991</v>
          </cell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 t="str">
            <v>ID#197</v>
          </cell>
          <cell r="B199" t="str">
            <v>R&amp;B TEA SINGAPORE                                                     3155 COMMONWEALTH AVENUE WEST #04-K4 CLEMENTI MALL, SINGAPORE 129588</v>
          </cell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 t="str">
            <v>ID#198</v>
          </cell>
          <cell r="B200" t="str">
            <v>R&amp;B TEA SINGAPORE                                                 OASIS TERRACES, 681 PUNGGOL DRIVE #B1-03 SINGAPORE 820681</v>
          </cell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 t="str">
            <v>ID#199</v>
          </cell>
          <cell r="B201" t="str">
            <v>R&amp;B TEA SINGAPORE                                                  3 SIMEI STREET 6 #01-04                     EAST POINT MALL, SINGAPORE 528833</v>
          </cell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 t="str">
            <v>ID#200</v>
          </cell>
          <cell r="B202" t="str">
            <v>R&amp;B TEA SINGAPORE                                                 377 HOUGANG STREET 32 #B1-18, SINGAPORE 530377</v>
          </cell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 t="str">
            <v>ID#201</v>
          </cell>
          <cell r="B203" t="str">
            <v>R&amp;B TEA SINGAPORE                                                 LE QUEST, 4 BUKIT BATOK STREET 41 #01-47 SINGAPORE 657991</v>
          </cell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 t="str">
            <v>ID#202</v>
          </cell>
          <cell r="B204" t="str">
            <v>R&amp;B TEA SINGAPORE                                                 101 THOMSON ROAD #02-K1        UNITED SQUARE, SINGAPORE 307591</v>
          </cell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 t="str">
            <v>ID#203</v>
          </cell>
          <cell r="B205" t="str">
            <v>R&amp;B TEA SINGAPORE                                                 1 KIM SENG PROMENADE  #B1-K104 GREAT WORLD CITY,                 SINGAPORE 237994</v>
          </cell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 t="str">
            <v>ID#204</v>
          </cell>
          <cell r="B206" t="str">
            <v>R&amp;B TEA SINGAPORE                                                 80 MARINE PARADE ROAD #03-30A PARKWAY PARADE,                     SINGAPORE 449269</v>
          </cell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 t="str">
            <v>ID#205</v>
          </cell>
          <cell r="B207" t="str">
            <v>R&amp;B TEA SINGAPORE                                                BLK 118 RIVERVALE DRIVE #01-K16 RIVERVALE PLAZA,                        SINGAPORE 540118</v>
          </cell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 t="str">
            <v>ID#206</v>
          </cell>
          <cell r="B208" t="str">
            <v>Guangdong Import &amp; Export Pte Ltd                                               48 Toh Guan Road East #07-119   Enterprise Hub Singapore 608586</v>
          </cell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 t="str">
            <v>ID#207</v>
          </cell>
          <cell r="B209" t="str">
            <v>TUCK SHOP                                                  One Punggol Hawker Centre, 1 Punggol Drive, #02-32, Singapore 828629</v>
          </cell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 t="str">
            <v>ID#208</v>
          </cell>
          <cell r="B210" t="str">
            <v>R&amp;B TEA SINGAPORE                                                301 UPPER THOMSON ROAD  #01-106 THOMSON PLAZA SINGAPORE 574408</v>
          </cell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 t="str">
            <v>ID#209</v>
          </cell>
          <cell r="B211" t="str">
            <v>7 Andover Rd, Singapore 509985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 t="str">
            <v>ID#210</v>
          </cell>
          <cell r="B212" t="str">
            <v>KOUFU GOURMET PTE LTD                                     1 Woodlands Height #05-01                    Singapore 737859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N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N217"/>
        </row>
        <row r="218">
          <cell r="B218"/>
          <cell r="C218" t="str">
            <v>1/9 起调整价钱</v>
          </cell>
          <cell r="D218"/>
          <cell r="E218"/>
          <cell r="F218"/>
          <cell r="G218"/>
          <cell r="H218"/>
          <cell r="I218"/>
          <cell r="J218"/>
          <cell r="K218"/>
        </row>
        <row r="219">
          <cell r="B219"/>
          <cell r="C219" t="str">
            <v>P3001</v>
          </cell>
          <cell r="D219" t="str">
            <v>Atap Seeds in Syrup亚嗒子</v>
          </cell>
          <cell r="E219"/>
          <cell r="F219"/>
          <cell r="G219">
            <v>1</v>
          </cell>
          <cell r="H219" t="str">
            <v>20 kgs/tin</v>
          </cell>
          <cell r="I219" t="str">
            <v>2P</v>
          </cell>
          <cell r="J219"/>
          <cell r="K219">
            <v>64</v>
          </cell>
        </row>
        <row r="220">
          <cell r="B220"/>
          <cell r="C220" t="str">
            <v>P3001A</v>
          </cell>
          <cell r="D220" t="str">
            <v>Atap Seeds in Syrup亚嗒子</v>
          </cell>
          <cell r="E220"/>
          <cell r="F220"/>
          <cell r="G220">
            <v>1</v>
          </cell>
          <cell r="H220" t="str">
            <v>NW (2.1:0.9) 3 kgs</v>
          </cell>
          <cell r="I220" t="str">
            <v>DO!</v>
          </cell>
          <cell r="J220"/>
          <cell r="K220">
            <v>11.5</v>
          </cell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</row>
        <row r="222">
          <cell r="B222"/>
          <cell r="C222" t="str">
            <v>7月1日起调整价钱</v>
          </cell>
          <cell r="D222"/>
          <cell r="E222"/>
          <cell r="F222"/>
          <cell r="G222"/>
          <cell r="H222"/>
          <cell r="I222"/>
          <cell r="J222"/>
          <cell r="K222"/>
        </row>
        <row r="223">
          <cell r="B223"/>
          <cell r="C223" t="str">
            <v>P5004</v>
          </cell>
          <cell r="D223" t="str">
            <v>Fine Sugar 白糖</v>
          </cell>
          <cell r="E223"/>
          <cell r="F223"/>
          <cell r="G223">
            <v>1</v>
          </cell>
          <cell r="H223" t="str">
            <v>25 KGS</v>
          </cell>
          <cell r="I223" t="str">
            <v>MITRPHOL</v>
          </cell>
          <cell r="J223"/>
          <cell r="K223">
            <v>31</v>
          </cell>
        </row>
        <row r="225">
          <cell r="C225" t="str">
            <v>下次起调整价钱</v>
          </cell>
          <cell r="D225"/>
          <cell r="E225"/>
          <cell r="F225"/>
          <cell r="G225"/>
          <cell r="H225"/>
          <cell r="I225"/>
          <cell r="J225"/>
          <cell r="K225"/>
        </row>
        <row r="226">
          <cell r="C226" t="str">
            <v>P5002A</v>
          </cell>
          <cell r="D226" t="str">
            <v>Brown Sugar 黑糖</v>
          </cell>
          <cell r="E226"/>
          <cell r="F226"/>
          <cell r="G226">
            <v>1</v>
          </cell>
          <cell r="H226" t="str">
            <v>6 kgs</v>
          </cell>
          <cell r="I226" t="str">
            <v>Star</v>
          </cell>
          <cell r="J226"/>
          <cell r="K226">
            <v>16.5</v>
          </cell>
        </row>
        <row r="227">
          <cell r="C227" t="str">
            <v>P5003A</v>
          </cell>
          <cell r="D227" t="str">
            <v>Red Sugar 赤糖</v>
          </cell>
          <cell r="E227"/>
          <cell r="F227"/>
          <cell r="G227">
            <v>1</v>
          </cell>
          <cell r="H227" t="str">
            <v>6 kgs</v>
          </cell>
          <cell r="I227" t="str">
            <v>Star</v>
          </cell>
          <cell r="J227"/>
          <cell r="K227">
            <v>16.5</v>
          </cell>
        </row>
        <row r="230">
          <cell r="C230" t="str">
            <v>NOTE:</v>
          </cell>
        </row>
        <row r="231">
          <cell r="C231" t="str">
            <v>For orders under S$100 will be subjected to a delivery surcharge (S$10).</v>
          </cell>
        </row>
        <row r="232">
          <cell r="C232" t="str">
            <v>订单金额低于 100 新元的订单将收取送货附加费 (10 新元)。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ales Master"/>
      <sheetName val="Delivery Location"/>
      <sheetName val="Cash"/>
      <sheetName val="#116"/>
      <sheetName val="118"/>
      <sheetName val="顺兴 (S)"/>
      <sheetName val="顺兴 (Other)"/>
      <sheetName val="源兴_x0009__x0009_"/>
      <sheetName val="#53"/>
      <sheetName val="#16"/>
      <sheetName val="#63"/>
      <sheetName val="#11"/>
      <sheetName val="#12"/>
      <sheetName val="#23"/>
      <sheetName val="#26"/>
      <sheetName val="#29"/>
      <sheetName val="#30"/>
      <sheetName val="#35"/>
      <sheetName val="#47"/>
      <sheetName val="#78"/>
      <sheetName val="#88"/>
      <sheetName val="珍姐_x0009__x0009_"/>
      <sheetName val="#92"/>
      <sheetName val="#103"/>
      <sheetName val="#104"/>
      <sheetName val="#97"/>
      <sheetName val="#61"/>
      <sheetName val="#42"/>
      <sheetName val="#44"/>
      <sheetName val="#49"/>
      <sheetName val="#77"/>
      <sheetName val="#82"/>
      <sheetName val="#91"/>
      <sheetName val="#101"/>
      <sheetName val="#106"/>
      <sheetName val="#107"/>
      <sheetName val="#09"/>
      <sheetName val="#10"/>
      <sheetName val="#17"/>
      <sheetName val="#24"/>
      <sheetName val="#27"/>
      <sheetName val="#37"/>
      <sheetName val="#38"/>
      <sheetName val="#51"/>
      <sheetName val="#54"/>
      <sheetName val="#55"/>
      <sheetName val="#56"/>
      <sheetName val="#71"/>
      <sheetName val="#74"/>
      <sheetName val="#83"/>
      <sheetName val="#86"/>
      <sheetName val="#87"/>
      <sheetName val="#89"/>
      <sheetName val="#93"/>
      <sheetName val="#98"/>
      <sheetName val="#102"/>
      <sheetName val="#03"/>
      <sheetName val="#15"/>
      <sheetName val="#20"/>
      <sheetName val="#28"/>
      <sheetName val="#75"/>
      <sheetName val="#90"/>
      <sheetName val="#113"/>
      <sheetName val="#114"/>
      <sheetName val="#39"/>
      <sheetName val="#50"/>
      <sheetName val="#52"/>
      <sheetName val="#58"/>
      <sheetName val="#59"/>
      <sheetName val="#76"/>
      <sheetName val="#80"/>
      <sheetName val="#99"/>
      <sheetName val="#05"/>
      <sheetName val="#07"/>
      <sheetName val="#14"/>
      <sheetName val="#19"/>
      <sheetName val="#22"/>
      <sheetName val="#34"/>
      <sheetName val="#43"/>
      <sheetName val="#115"/>
      <sheetName val="#25"/>
      <sheetName val="#36"/>
      <sheetName val="#57"/>
      <sheetName val="#62"/>
      <sheetName val="凉凉"/>
      <sheetName val="#79"/>
      <sheetName val="#112"/>
      <sheetName val="#41"/>
      <sheetName val="Micron"/>
      <sheetName val="Cash Sales"/>
      <sheetName val="#06"/>
      <sheetName val="#13"/>
      <sheetName val="#18"/>
      <sheetName val="#21"/>
      <sheetName val="#31"/>
      <sheetName val="#32"/>
      <sheetName val="#33"/>
      <sheetName val="#40"/>
      <sheetName val="#46"/>
      <sheetName val="#48"/>
      <sheetName val="#60"/>
      <sheetName val="#64"/>
      <sheetName val="#68"/>
      <sheetName val="#72"/>
      <sheetName val="#73"/>
      <sheetName val="#81"/>
      <sheetName val="#84"/>
      <sheetName val="#85"/>
      <sheetName val="#94"/>
      <sheetName val="#96"/>
      <sheetName val="#100"/>
      <sheetName val="#105"/>
      <sheetName val="#108"/>
    </sheetNames>
    <sheetDataSet>
      <sheetData sheetId="0" refreshError="1"/>
      <sheetData sheetId="1" refreshError="1"/>
      <sheetData sheetId="2" refreshError="1">
        <row r="3">
          <cell r="B3" t="str">
            <v>M001</v>
          </cell>
          <cell r="C3" t="str">
            <v xml:space="preserve">Fresh Soursop 红毛榴莲 </v>
          </cell>
          <cell r="D3"/>
          <cell r="E3" t="str">
            <v>DO!</v>
          </cell>
          <cell r="F3" t="str">
            <v>5 KGS/包</v>
          </cell>
        </row>
        <row r="4">
          <cell r="B4" t="str">
            <v>M002</v>
          </cell>
          <cell r="C4" t="str">
            <v xml:space="preserve">Fresh Soursop 红毛榴莲 </v>
          </cell>
          <cell r="D4"/>
          <cell r="E4" t="str">
            <v>DO!</v>
          </cell>
          <cell r="F4" t="str">
            <v>5 KGS/桶</v>
          </cell>
        </row>
        <row r="5">
          <cell r="B5" t="str">
            <v>M003</v>
          </cell>
          <cell r="C5" t="str">
            <v>Fresh Soursop 红毛榴莲(无)</v>
          </cell>
          <cell r="D5"/>
          <cell r="E5" t="str">
            <v>DO!</v>
          </cell>
          <cell r="F5" t="str">
            <v>5 KGS/桶</v>
          </cell>
        </row>
        <row r="6">
          <cell r="B6" t="str">
            <v>M004</v>
          </cell>
          <cell r="C6" t="str">
            <v xml:space="preserve">Fresh Soursop 红毛榴莲 </v>
          </cell>
          <cell r="D6"/>
          <cell r="E6" t="str">
            <v>DO!</v>
          </cell>
          <cell r="F6" t="str">
            <v>5 KGS/白桶</v>
          </cell>
        </row>
        <row r="7">
          <cell r="B7" t="str">
            <v>M005</v>
          </cell>
          <cell r="C7" t="str">
            <v>Fresh Soursop 红毛榴莲(无)</v>
          </cell>
          <cell r="D7"/>
          <cell r="E7" t="str">
            <v>DO!</v>
          </cell>
          <cell r="F7" t="str">
            <v>盒</v>
          </cell>
        </row>
        <row r="8">
          <cell r="B8" t="str">
            <v>M006</v>
          </cell>
          <cell r="C8" t="str">
            <v>Durian Puree 榴莲</v>
          </cell>
          <cell r="D8"/>
          <cell r="E8" t="str">
            <v>DO!</v>
          </cell>
          <cell r="F8" t="str">
            <v>盒</v>
          </cell>
        </row>
        <row r="9">
          <cell r="B9" t="str">
            <v>M007</v>
          </cell>
          <cell r="C9" t="str">
            <v>Mango Puree芒果</v>
          </cell>
          <cell r="D9"/>
          <cell r="E9" t="str">
            <v>DO!</v>
          </cell>
          <cell r="F9" t="str">
            <v>盒</v>
          </cell>
        </row>
        <row r="10">
          <cell r="B10" t="str">
            <v>M008</v>
          </cell>
          <cell r="C10" t="str">
            <v>Strawberry Puree草莓</v>
          </cell>
          <cell r="D10"/>
          <cell r="E10" t="str">
            <v>DO!</v>
          </cell>
          <cell r="F10" t="str">
            <v>盒</v>
          </cell>
        </row>
        <row r="11">
          <cell r="B11" t="str">
            <v>M009</v>
          </cell>
          <cell r="C11" t="str">
            <v>Guava Puree番石榴</v>
          </cell>
          <cell r="D11"/>
          <cell r="E11" t="str">
            <v>DO!</v>
          </cell>
          <cell r="F11" t="str">
            <v>盒</v>
          </cell>
        </row>
        <row r="12">
          <cell r="B12" t="str">
            <v>M010</v>
          </cell>
          <cell r="C12" t="str">
            <v>KIWI Syrup 奇异果</v>
          </cell>
          <cell r="D12"/>
          <cell r="E12" t="str">
            <v>DO!</v>
          </cell>
          <cell r="F12" t="str">
            <v>盒</v>
          </cell>
        </row>
        <row r="13">
          <cell r="B13" t="str">
            <v>M011</v>
          </cell>
          <cell r="C13" t="str">
            <v>Avocodo 鳄梨酱</v>
          </cell>
          <cell r="D13"/>
          <cell r="E13" t="str">
            <v>-</v>
          </cell>
          <cell r="F13" t="str">
            <v>盒</v>
          </cell>
        </row>
        <row r="14">
          <cell r="B14" t="str">
            <v>M012</v>
          </cell>
          <cell r="C14" t="str">
            <v>Blueberry 蓝莓酱</v>
          </cell>
          <cell r="D14"/>
          <cell r="E14" t="str">
            <v>-</v>
          </cell>
          <cell r="F14" t="str">
            <v>盒</v>
          </cell>
        </row>
        <row r="15">
          <cell r="B15" t="str">
            <v>M013</v>
          </cell>
          <cell r="C15" t="str">
            <v>Passion Fruit Jam 百香果</v>
          </cell>
          <cell r="D15"/>
          <cell r="E15" t="str">
            <v>-</v>
          </cell>
          <cell r="F15" t="str">
            <v>盒</v>
          </cell>
        </row>
        <row r="16">
          <cell r="B16" t="str">
            <v>M014</v>
          </cell>
          <cell r="C16" t="str">
            <v>Green Apple Jam  青苹果</v>
          </cell>
          <cell r="D16"/>
          <cell r="E16" t="str">
            <v>-</v>
          </cell>
          <cell r="F16" t="str">
            <v>盒</v>
          </cell>
        </row>
        <row r="17">
          <cell r="B17" t="str">
            <v>M015</v>
          </cell>
          <cell r="C17" t="str">
            <v>Honey Pearl - Black 蜜糖珍珠</v>
          </cell>
          <cell r="D17"/>
          <cell r="E17" t="str">
            <v>DO!</v>
          </cell>
          <cell r="F17" t="str">
            <v>黑/Bag</v>
          </cell>
        </row>
        <row r="18">
          <cell r="B18" t="str">
            <v>M016</v>
          </cell>
          <cell r="C18" t="str">
            <v>Honey Pearl - Red 蜜糖珍珠</v>
          </cell>
          <cell r="D18"/>
          <cell r="E18" t="str">
            <v>DO!</v>
          </cell>
          <cell r="F18" t="str">
            <v>红/Bag</v>
          </cell>
        </row>
        <row r="19">
          <cell r="B19" t="str">
            <v>M017</v>
          </cell>
          <cell r="C19" t="str">
            <v>Honey Pearl - Orange 蜜糖珍珠</v>
          </cell>
          <cell r="D19"/>
          <cell r="E19" t="str">
            <v>DO!</v>
          </cell>
          <cell r="F19" t="str">
            <v>橙/Bag</v>
          </cell>
        </row>
        <row r="20">
          <cell r="B20" t="str">
            <v>M018</v>
          </cell>
          <cell r="C20" t="str">
            <v>Q Ball Q圆</v>
          </cell>
          <cell r="D20"/>
          <cell r="E20" t="str">
            <v>-</v>
          </cell>
          <cell r="F20" t="str">
            <v>1 KGS/包</v>
          </cell>
        </row>
        <row r="21">
          <cell r="B21" t="str">
            <v>M019</v>
          </cell>
          <cell r="C21" t="str">
            <v>3Q Jelly</v>
          </cell>
          <cell r="D21"/>
          <cell r="E21" t="str">
            <v>-</v>
          </cell>
          <cell r="F21" t="str">
            <v>4 KGS/包</v>
          </cell>
        </row>
        <row r="22">
          <cell r="B22" t="str">
            <v>M020</v>
          </cell>
          <cell r="C22" t="str">
            <v>Bobo Cha Cubes.摩摩喳喳</v>
          </cell>
          <cell r="D22"/>
          <cell r="E22" t="str">
            <v>DO!</v>
          </cell>
          <cell r="F22" t="str">
            <v>1 KGS/包</v>
          </cell>
        </row>
        <row r="23">
          <cell r="B23" t="str">
            <v>M021</v>
          </cell>
          <cell r="C23" t="str">
            <v>Chendol浆咯</v>
          </cell>
          <cell r="D23"/>
          <cell r="E23" t="str">
            <v>DO!</v>
          </cell>
          <cell r="F23" t="str">
            <v>3 kgs</v>
          </cell>
        </row>
        <row r="24">
          <cell r="B24" t="str">
            <v>M022</v>
          </cell>
          <cell r="C24" t="str">
            <v>Coconut Sugar Syrup 椰糖汁</v>
          </cell>
          <cell r="D24"/>
          <cell r="E24" t="str">
            <v>DO!</v>
          </cell>
          <cell r="F24" t="str">
            <v>4L/支</v>
          </cell>
        </row>
        <row r="25">
          <cell r="B25" t="str">
            <v>M023</v>
          </cell>
          <cell r="C25" t="str">
            <v>Coconut Sugar Syrup 椰糖汁G</v>
          </cell>
          <cell r="D25"/>
          <cell r="E25" t="str">
            <v>DO!</v>
          </cell>
          <cell r="F25" t="str">
            <v>4L/支</v>
          </cell>
        </row>
        <row r="26">
          <cell r="B26" t="str">
            <v>M024</v>
          </cell>
          <cell r="C26" t="str">
            <v>Pong Thai Hai (Wet) 碰大海</v>
          </cell>
          <cell r="D26"/>
          <cell r="E26" t="str">
            <v>DO!</v>
          </cell>
          <cell r="F26" t="str">
            <v>1 kg</v>
          </cell>
        </row>
        <row r="27">
          <cell r="B27" t="str">
            <v>M025</v>
          </cell>
          <cell r="C27" t="str">
            <v>Atap Seeds in Syrup亚嗒子</v>
          </cell>
          <cell r="D27"/>
          <cell r="E27" t="str">
            <v>-</v>
          </cell>
          <cell r="F27" t="str">
            <v>NET WT: 2.2 KGS</v>
          </cell>
        </row>
        <row r="28">
          <cell r="B28" t="str">
            <v>M025K</v>
          </cell>
          <cell r="C28" t="str">
            <v>Atap Seeds in Syrup亚嗒子</v>
          </cell>
          <cell r="D28"/>
          <cell r="E28" t="str">
            <v>-</v>
          </cell>
          <cell r="F28" t="str">
            <v>NET WT: 2 KGS</v>
          </cell>
        </row>
        <row r="29">
          <cell r="B29" t="str">
            <v>M026</v>
          </cell>
          <cell r="C29" t="str">
            <v>Tadpole蝌蚪</v>
          </cell>
          <cell r="D29"/>
          <cell r="E29" t="str">
            <v>-</v>
          </cell>
          <cell r="F29" t="str">
            <v>1 kg</v>
          </cell>
        </row>
        <row r="30">
          <cell r="B30" t="str">
            <v>M027</v>
          </cell>
          <cell r="C30" t="str">
            <v>Chin Chow  仙 草</v>
          </cell>
          <cell r="D30"/>
          <cell r="E30" t="str">
            <v>-</v>
          </cell>
          <cell r="F30" t="str">
            <v>5KGS/PKT</v>
          </cell>
        </row>
        <row r="31">
          <cell r="B31" t="str">
            <v>M028</v>
          </cell>
          <cell r="C31" t="str">
            <v>Almond Power 杏仁粉 - white</v>
          </cell>
          <cell r="D31"/>
          <cell r="E31" t="str">
            <v>110088/5</v>
          </cell>
          <cell r="F31" t="str">
            <v>140gm x 10 pkt</v>
          </cell>
        </row>
        <row r="32">
          <cell r="B32" t="str">
            <v>M029</v>
          </cell>
          <cell r="C32" t="str">
            <v>Almond Power 杏仁粉 - Yelow</v>
          </cell>
          <cell r="D32"/>
          <cell r="E32" t="str">
            <v>PH</v>
          </cell>
          <cell r="F32" t="str">
            <v>150gm x 10 pkt</v>
          </cell>
        </row>
        <row r="33">
          <cell r="B33" t="str">
            <v>M030</v>
          </cell>
          <cell r="C33" t="str">
            <v>MAGIC BALL</v>
          </cell>
          <cell r="D33"/>
          <cell r="E33" t="str">
            <v>-</v>
          </cell>
          <cell r="F33" t="str">
            <v>1 KG</v>
          </cell>
        </row>
        <row r="34">
          <cell r="B34" t="str">
            <v>M031</v>
          </cell>
          <cell r="C34" t="str">
            <v>Lemongrass Ginger Concentrate Juice 香茅姜汁</v>
          </cell>
          <cell r="D34"/>
          <cell r="E34"/>
          <cell r="F34" t="str">
            <v>80 GMS/PK</v>
          </cell>
        </row>
        <row r="35">
          <cell r="B35" t="str">
            <v>M032</v>
          </cell>
          <cell r="C35" t="str">
            <v>Passion Fruit Concentrate Juice 百香果汁</v>
          </cell>
          <cell r="D35"/>
          <cell r="E35"/>
          <cell r="F35" t="str">
            <v>100 GMS/PKT</v>
          </cell>
        </row>
        <row r="36">
          <cell r="B36" t="str">
            <v>M033</v>
          </cell>
          <cell r="C36" t="str">
            <v>Citrus Plum Concentrate Juice 柑桔梅子汁</v>
          </cell>
          <cell r="D36"/>
          <cell r="E36"/>
          <cell r="F36" t="str">
            <v>80 GMS/PK</v>
          </cell>
        </row>
        <row r="37">
          <cell r="B37" t="str">
            <v>M034</v>
          </cell>
          <cell r="C37" t="str">
            <v>Sweet Potato Q - Orange番薯粉圆</v>
          </cell>
          <cell r="D37"/>
          <cell r="E37"/>
          <cell r="F37" t="str">
            <v>500G/pkt</v>
          </cell>
        </row>
        <row r="38">
          <cell r="B38" t="str">
            <v>M034A</v>
          </cell>
          <cell r="C38" t="str">
            <v>Sweet Potato Q - Purple紫番薯粉圆</v>
          </cell>
          <cell r="D38"/>
          <cell r="E38"/>
          <cell r="F38" t="str">
            <v>500G/pkt</v>
          </cell>
        </row>
        <row r="39">
          <cell r="B39" t="str">
            <v>M035</v>
          </cell>
          <cell r="C39" t="str">
            <v>Taro Q - White芋头粉圆</v>
          </cell>
          <cell r="D39"/>
          <cell r="E39"/>
          <cell r="F39" t="str">
            <v>500G/pkt</v>
          </cell>
        </row>
        <row r="40">
          <cell r="B40" t="str">
            <v>M036</v>
          </cell>
          <cell r="C40" t="str">
            <v>Tapioca Q - Green-木薯粉圆</v>
          </cell>
          <cell r="D40"/>
          <cell r="E40"/>
          <cell r="F40" t="str">
            <v>500G/pkt</v>
          </cell>
        </row>
        <row r="41">
          <cell r="B41" t="str">
            <v>M037</v>
          </cell>
          <cell r="C41" t="str">
            <v>GLASSJELLY 罗汉仙草冻</v>
          </cell>
          <cell r="D41"/>
          <cell r="E41"/>
          <cell r="F41" t="str">
            <v>1k/BOX</v>
          </cell>
        </row>
        <row r="42">
          <cell r="B42"/>
          <cell r="C42"/>
          <cell r="D42"/>
          <cell r="E42"/>
          <cell r="F42"/>
        </row>
        <row r="43">
          <cell r="B43"/>
          <cell r="C43"/>
          <cell r="D43"/>
          <cell r="E43"/>
          <cell r="F43"/>
        </row>
        <row r="44">
          <cell r="B44" t="str">
            <v>P001</v>
          </cell>
          <cell r="C44" t="str">
            <v>Chin Chow power 仙 草粉</v>
          </cell>
          <cell r="D44"/>
          <cell r="E44" t="str">
            <v>-</v>
          </cell>
          <cell r="F44" t="str">
            <v>2 kgs</v>
          </cell>
        </row>
        <row r="45">
          <cell r="B45" t="str">
            <v>P002</v>
          </cell>
          <cell r="C45" t="str">
            <v>Jelly Powder 文头雪粉</v>
          </cell>
          <cell r="D45"/>
          <cell r="E45" t="str">
            <v>500/4000</v>
          </cell>
          <cell r="F45" t="str">
            <v>1 kg</v>
          </cell>
        </row>
        <row r="46">
          <cell r="B46" t="str">
            <v>P003</v>
          </cell>
          <cell r="C46" t="str">
            <v>Jelly Powder 文头雪粉</v>
          </cell>
          <cell r="D46"/>
          <cell r="E46" t="str">
            <v>500/4000</v>
          </cell>
          <cell r="F46" t="str">
            <v>42gmx10Pkt</v>
          </cell>
        </row>
        <row r="47">
          <cell r="B47" t="str">
            <v>P004</v>
          </cell>
          <cell r="C47" t="str">
            <v>Agar Powder菜燕粉</v>
          </cell>
          <cell r="D47"/>
          <cell r="E47" t="str">
            <v>No 1</v>
          </cell>
          <cell r="F47" t="str">
            <v>45gmx10Pkt</v>
          </cell>
        </row>
        <row r="48">
          <cell r="B48" t="str">
            <v>P005</v>
          </cell>
          <cell r="C48" t="str">
            <v>Agar Powder菜燕粉</v>
          </cell>
          <cell r="D48"/>
          <cell r="E48" t="str">
            <v>No 1</v>
          </cell>
          <cell r="F48" t="str">
            <v>1 kg</v>
          </cell>
        </row>
        <row r="49">
          <cell r="B49" t="str">
            <v>P006</v>
          </cell>
          <cell r="C49" t="str">
            <v>Agar Agar Powder (Rose)菜燕粉</v>
          </cell>
          <cell r="D49"/>
          <cell r="E49" t="str">
            <v>Rose</v>
          </cell>
          <cell r="F49" t="str">
            <v>(12g x 12pkt)/盒</v>
          </cell>
        </row>
        <row r="50">
          <cell r="B50" t="str">
            <v>P007</v>
          </cell>
          <cell r="C50" t="str">
            <v>Agar Strip 菜燕条</v>
          </cell>
          <cell r="D50"/>
          <cell r="E50" t="str">
            <v>-</v>
          </cell>
          <cell r="F50" t="str">
            <v>1 kg</v>
          </cell>
        </row>
        <row r="51">
          <cell r="B51" t="str">
            <v>P008</v>
          </cell>
          <cell r="C51" t="str">
            <v>Mango Pudding芒果布丁</v>
          </cell>
          <cell r="D51"/>
          <cell r="E51" t="str">
            <v>Pudding</v>
          </cell>
          <cell r="F51" t="str">
            <v>10PKT/BAG</v>
          </cell>
        </row>
        <row r="52">
          <cell r="B52" t="str">
            <v>P009</v>
          </cell>
          <cell r="C52" t="str">
            <v>Almond Power- Yellow- Jelly A 杏仁粉</v>
          </cell>
          <cell r="D52"/>
          <cell r="E52" t="str">
            <v>500/4000</v>
          </cell>
          <cell r="F52" t="str">
            <v>30gm x 10pkt</v>
          </cell>
        </row>
        <row r="53">
          <cell r="B53" t="str">
            <v>P010</v>
          </cell>
          <cell r="C53" t="str">
            <v>Almond Power-White 杏仁粉</v>
          </cell>
          <cell r="D53"/>
          <cell r="E53" t="str">
            <v>110088/5</v>
          </cell>
          <cell r="F53" t="str">
            <v>1 kg</v>
          </cell>
        </row>
        <row r="54">
          <cell r="B54" t="str">
            <v>P011</v>
          </cell>
          <cell r="C54" t="str">
            <v>Selaseh (Basil Seed) 青蛙蛋</v>
          </cell>
          <cell r="D54"/>
          <cell r="E54" t="str">
            <v>Tukhmaria</v>
          </cell>
          <cell r="F54" t="str">
            <v>500 gm</v>
          </cell>
        </row>
        <row r="55">
          <cell r="B55" t="str">
            <v>P012</v>
          </cell>
          <cell r="C55" t="str">
            <v>GingKo Nut (Peel off)白果仁</v>
          </cell>
          <cell r="D55"/>
          <cell r="E55" t="str">
            <v>-</v>
          </cell>
          <cell r="F55" t="str">
            <v>1 kg (2 包)</v>
          </cell>
        </row>
        <row r="56">
          <cell r="B56" t="str">
            <v>P013</v>
          </cell>
          <cell r="C56" t="str">
            <v>Cream Corn玉米浆</v>
          </cell>
          <cell r="D56"/>
          <cell r="E56" t="str">
            <v>Statue</v>
          </cell>
          <cell r="F56" t="str">
            <v>425g/Canx 12</v>
          </cell>
        </row>
        <row r="57">
          <cell r="B57" t="str">
            <v>P014</v>
          </cell>
          <cell r="C57" t="str">
            <v>Whole Corn玉米粒</v>
          </cell>
          <cell r="D57"/>
          <cell r="E57" t="str">
            <v>statue</v>
          </cell>
          <cell r="F57" t="str">
            <v>410G/Canx 12</v>
          </cell>
        </row>
        <row r="58">
          <cell r="B58" t="str">
            <v>P017</v>
          </cell>
          <cell r="C58" t="str">
            <v>Condnation Milk 练奶</v>
          </cell>
          <cell r="D58"/>
          <cell r="E58" t="str">
            <v>Dawn牛</v>
          </cell>
          <cell r="F58" t="str">
            <v>385gm/can/罐</v>
          </cell>
        </row>
        <row r="59">
          <cell r="B59" t="str">
            <v>P018</v>
          </cell>
          <cell r="C59" t="str">
            <v>Sea Coconut海底椰</v>
          </cell>
          <cell r="D59"/>
          <cell r="E59" t="str">
            <v>G</v>
          </cell>
          <cell r="F59" t="str">
            <v>1 Can X A10</v>
          </cell>
        </row>
        <row r="60">
          <cell r="B60" t="str">
            <v>P018A</v>
          </cell>
          <cell r="C60" t="str">
            <v>Sea Coconut海底椰</v>
          </cell>
          <cell r="D60"/>
          <cell r="E60" t="str">
            <v>Golden boy</v>
          </cell>
          <cell r="F60" t="str">
            <v>1 Can X A10</v>
          </cell>
        </row>
        <row r="61">
          <cell r="B61" t="str">
            <v>P019</v>
          </cell>
          <cell r="C61" t="str">
            <v>Sea Coconut海底椰</v>
          </cell>
          <cell r="D61"/>
          <cell r="E61" t="str">
            <v>Chefs</v>
          </cell>
          <cell r="F61" t="str">
            <v>1 Can X A10</v>
          </cell>
        </row>
        <row r="62">
          <cell r="B62" t="str">
            <v>P020</v>
          </cell>
          <cell r="C62" t="str">
            <v>Nata De Coco椰果芊 15mm</v>
          </cell>
          <cell r="D62"/>
          <cell r="E62" t="str">
            <v>Coco</v>
          </cell>
          <cell r="F62" t="str">
            <v>1 Can X A10</v>
          </cell>
        </row>
        <row r="63">
          <cell r="B63" t="str">
            <v>P021</v>
          </cell>
          <cell r="C63" t="str">
            <v>Nata De Coco椰果芊 0.5 x 0.5</v>
          </cell>
          <cell r="D63"/>
          <cell r="E63" t="str">
            <v>Coco</v>
          </cell>
          <cell r="F63" t="str">
            <v>1 Can X A10</v>
          </cell>
        </row>
        <row r="64">
          <cell r="B64" t="str">
            <v>P022</v>
          </cell>
          <cell r="C64" t="str">
            <v>Aloe Vera芦荟 10MM</v>
          </cell>
          <cell r="D64"/>
          <cell r="E64" t="str">
            <v>Chefs</v>
          </cell>
          <cell r="F64" t="str">
            <v>1 Can X A10</v>
          </cell>
        </row>
        <row r="65">
          <cell r="B65" t="str">
            <v>P023</v>
          </cell>
          <cell r="C65" t="str">
            <v>Water Chestnut  (Can) 马蹄</v>
          </cell>
          <cell r="D65"/>
          <cell r="E65" t="str">
            <v>-</v>
          </cell>
          <cell r="F65" t="str">
            <v>12 Can/Ctn</v>
          </cell>
        </row>
        <row r="66">
          <cell r="B66" t="str">
            <v>P024</v>
          </cell>
          <cell r="C66" t="str">
            <v>Canned Red Bean 罐头 红豆</v>
          </cell>
          <cell r="D66"/>
          <cell r="E66" t="str">
            <v>-</v>
          </cell>
          <cell r="F66" t="str">
            <v xml:space="preserve">3.3KG/Can </v>
          </cell>
        </row>
        <row r="67">
          <cell r="B67" t="str">
            <v>P025</v>
          </cell>
          <cell r="C67" t="str">
            <v>Coconut Milk 椰浆</v>
          </cell>
          <cell r="D67"/>
          <cell r="E67" t="str">
            <v>-</v>
          </cell>
          <cell r="F67" t="str">
            <v>1 kg</v>
          </cell>
        </row>
        <row r="68">
          <cell r="B68" t="str">
            <v>P026</v>
          </cell>
          <cell r="C68" t="str">
            <v>Coco Syrup 可可糖浆</v>
          </cell>
          <cell r="D68"/>
          <cell r="E68" t="str">
            <v>Hershey's</v>
          </cell>
          <cell r="F68" t="str">
            <v>1 Btl</v>
          </cell>
        </row>
        <row r="69">
          <cell r="B69" t="str">
            <v>P027</v>
          </cell>
          <cell r="C69" t="str">
            <v>Red Bean红豆</v>
          </cell>
          <cell r="D69"/>
          <cell r="E69" t="str">
            <v>-</v>
          </cell>
          <cell r="F69" t="str">
            <v>5 kgs</v>
          </cell>
        </row>
        <row r="70">
          <cell r="B70" t="str">
            <v>P027A</v>
          </cell>
          <cell r="C70" t="str">
            <v>Red Bean红豆</v>
          </cell>
          <cell r="D70"/>
          <cell r="E70" t="str">
            <v>-</v>
          </cell>
          <cell r="F70" t="str">
            <v>4 kgs</v>
          </cell>
        </row>
        <row r="71">
          <cell r="B71" t="str">
            <v>P027B</v>
          </cell>
          <cell r="C71" t="str">
            <v>Red Bean红豆</v>
          </cell>
          <cell r="D71"/>
          <cell r="E71" t="str">
            <v>-</v>
          </cell>
          <cell r="F71" t="str">
            <v>3 kgs</v>
          </cell>
        </row>
        <row r="72">
          <cell r="B72" t="str">
            <v>P027C</v>
          </cell>
          <cell r="C72" t="str">
            <v>Red Bean红豆</v>
          </cell>
          <cell r="D72"/>
          <cell r="E72" t="str">
            <v>-</v>
          </cell>
          <cell r="F72" t="str">
            <v>500 GMS</v>
          </cell>
        </row>
        <row r="73">
          <cell r="B73" t="str">
            <v>P030</v>
          </cell>
          <cell r="C73" t="str">
            <v>Small Red Bean小红豆</v>
          </cell>
          <cell r="D73"/>
          <cell r="E73" t="str">
            <v>-</v>
          </cell>
          <cell r="F73" t="str">
            <v>5 kgs</v>
          </cell>
        </row>
        <row r="74">
          <cell r="B74" t="str">
            <v>P030A</v>
          </cell>
          <cell r="C74" t="str">
            <v>Small Red Bean小红豆</v>
          </cell>
          <cell r="D74"/>
          <cell r="E74" t="str">
            <v>-</v>
          </cell>
          <cell r="F74" t="str">
            <v>2 KGS</v>
          </cell>
        </row>
        <row r="75">
          <cell r="B75" t="str">
            <v>P031</v>
          </cell>
          <cell r="C75" t="str">
            <v>Kidney Bean 大红豆 (美国）</v>
          </cell>
          <cell r="D75"/>
          <cell r="E75" t="str">
            <v>-</v>
          </cell>
          <cell r="F75" t="str">
            <v>5 kgs</v>
          </cell>
        </row>
        <row r="76">
          <cell r="B76" t="str">
            <v>P032</v>
          </cell>
          <cell r="C76" t="str">
            <v>Chia Tao赤豆</v>
          </cell>
          <cell r="D76"/>
          <cell r="E76" t="str">
            <v>-</v>
          </cell>
          <cell r="F76" t="str">
            <v>5 kgs</v>
          </cell>
        </row>
        <row r="77">
          <cell r="B77" t="str">
            <v>P033</v>
          </cell>
          <cell r="C77" t="str">
            <v>Green Bean 绿豆</v>
          </cell>
          <cell r="D77"/>
          <cell r="E77" t="str">
            <v>-</v>
          </cell>
          <cell r="F77" t="str">
            <v>5 KGS</v>
          </cell>
        </row>
        <row r="78">
          <cell r="B78" t="str">
            <v>P033A</v>
          </cell>
          <cell r="C78" t="str">
            <v>Green Bean 绿豆</v>
          </cell>
          <cell r="D78"/>
          <cell r="E78" t="str">
            <v>-</v>
          </cell>
          <cell r="F78" t="str">
            <v>4 KG</v>
          </cell>
        </row>
        <row r="79">
          <cell r="B79" t="str">
            <v>P033B</v>
          </cell>
          <cell r="C79" t="str">
            <v>Green Bean 绿豆</v>
          </cell>
          <cell r="D79"/>
          <cell r="E79" t="str">
            <v>-</v>
          </cell>
          <cell r="F79" t="str">
            <v>500 GMS</v>
          </cell>
        </row>
        <row r="80">
          <cell r="B80" t="str">
            <v>P035</v>
          </cell>
          <cell r="C80" t="str">
            <v>Split Green Mung Bean豆畔</v>
          </cell>
          <cell r="D80"/>
          <cell r="E80" t="str">
            <v>-</v>
          </cell>
          <cell r="F80" t="str">
            <v>5 KG</v>
          </cell>
        </row>
        <row r="81">
          <cell r="B81" t="str">
            <v>P035A</v>
          </cell>
          <cell r="C81" t="str">
            <v>Split Green Mung Bean豆畔</v>
          </cell>
          <cell r="D81"/>
          <cell r="E81" t="str">
            <v>-</v>
          </cell>
          <cell r="F81" t="str">
            <v>3 KG</v>
          </cell>
        </row>
        <row r="82">
          <cell r="B82" t="str">
            <v>P035B</v>
          </cell>
          <cell r="C82" t="str">
            <v>Split Green Mung Bean豆畔</v>
          </cell>
          <cell r="D82"/>
          <cell r="E82" t="str">
            <v>-</v>
          </cell>
          <cell r="F82" t="str">
            <v>2 kg</v>
          </cell>
        </row>
        <row r="83">
          <cell r="B83" t="str">
            <v>P035C</v>
          </cell>
          <cell r="C83" t="str">
            <v>Split Green Mung Bean豆畔</v>
          </cell>
          <cell r="D83"/>
          <cell r="E83" t="str">
            <v>SW Thailand</v>
          </cell>
          <cell r="F83" t="str">
            <v>500 gms</v>
          </cell>
        </row>
        <row r="84">
          <cell r="B84" t="str">
            <v>P037</v>
          </cell>
          <cell r="C84" t="str">
            <v>Black Glutinous Rice 黑糯米</v>
          </cell>
          <cell r="D84"/>
          <cell r="E84" t="str">
            <v>-</v>
          </cell>
          <cell r="F84" t="str">
            <v>5 kgs</v>
          </cell>
        </row>
        <row r="85">
          <cell r="B85" t="str">
            <v>P037A</v>
          </cell>
          <cell r="C85" t="str">
            <v>Black Glutinous Rice 黑糯米</v>
          </cell>
          <cell r="D85"/>
          <cell r="E85" t="str">
            <v>-</v>
          </cell>
          <cell r="F85" t="str">
            <v>1 KG</v>
          </cell>
        </row>
        <row r="86">
          <cell r="B86" t="str">
            <v>P037B</v>
          </cell>
          <cell r="C86" t="str">
            <v>Black Glutinous Rice 黑糯米</v>
          </cell>
          <cell r="D86"/>
          <cell r="E86" t="str">
            <v>INDONESIA</v>
          </cell>
          <cell r="F86" t="str">
            <v>500 GMS</v>
          </cell>
        </row>
        <row r="87">
          <cell r="B87" t="str">
            <v>P039</v>
          </cell>
          <cell r="C87" t="str">
            <v>White Glutinous Rice白糯米</v>
          </cell>
          <cell r="D87"/>
          <cell r="E87" t="str">
            <v>-</v>
          </cell>
          <cell r="F87" t="str">
            <v>5 kgs</v>
          </cell>
        </row>
        <row r="88">
          <cell r="B88" t="str">
            <v>P039A</v>
          </cell>
          <cell r="C88" t="str">
            <v>White Glutinous Rice白糯米</v>
          </cell>
          <cell r="D88"/>
          <cell r="E88" t="str">
            <v>-</v>
          </cell>
          <cell r="F88" t="str">
            <v>1 kg</v>
          </cell>
        </row>
        <row r="89">
          <cell r="B89" t="str">
            <v>P039B</v>
          </cell>
          <cell r="C89" t="str">
            <v>White Glutinous Rice白糯米</v>
          </cell>
          <cell r="D89"/>
          <cell r="E89" t="str">
            <v>-</v>
          </cell>
          <cell r="F89" t="str">
            <v>500 GMS</v>
          </cell>
        </row>
        <row r="90">
          <cell r="B90" t="str">
            <v>P041</v>
          </cell>
          <cell r="C90" t="str">
            <v>White Wheat 大麦</v>
          </cell>
          <cell r="D90"/>
          <cell r="E90" t="str">
            <v>-</v>
          </cell>
          <cell r="F90" t="str">
            <v>10PKT/BAG</v>
          </cell>
        </row>
        <row r="91">
          <cell r="B91" t="str">
            <v>P042</v>
          </cell>
          <cell r="C91" t="str">
            <v>Pearl Barley 薏米</v>
          </cell>
          <cell r="D91"/>
          <cell r="E91" t="str">
            <v>-</v>
          </cell>
          <cell r="F91" t="str">
            <v>5 kgs</v>
          </cell>
        </row>
        <row r="92">
          <cell r="B92" t="str">
            <v>P043</v>
          </cell>
          <cell r="C92" t="str">
            <v>Pearl Barley 薏米</v>
          </cell>
          <cell r="D92"/>
          <cell r="E92" t="str">
            <v>Holland</v>
          </cell>
          <cell r="F92" t="str">
            <v>1 kg</v>
          </cell>
        </row>
        <row r="93">
          <cell r="B93" t="str">
            <v>P044</v>
          </cell>
          <cell r="C93" t="str">
            <v>Big Sago 大丸</v>
          </cell>
          <cell r="D93"/>
          <cell r="E93" t="str">
            <v>-</v>
          </cell>
          <cell r="F93" t="str">
            <v>5 kgs</v>
          </cell>
        </row>
        <row r="94">
          <cell r="B94" t="str">
            <v>P044A</v>
          </cell>
          <cell r="C94" t="str">
            <v>Big Sago 大丸</v>
          </cell>
          <cell r="D94"/>
          <cell r="E94" t="str">
            <v>-</v>
          </cell>
          <cell r="F94" t="str">
            <v>2.5 KGS</v>
          </cell>
        </row>
        <row r="95">
          <cell r="B95" t="str">
            <v>P045</v>
          </cell>
          <cell r="C95" t="str">
            <v>Big Sago 大丸</v>
          </cell>
          <cell r="D95"/>
          <cell r="E95" t="str">
            <v>S &amp; W</v>
          </cell>
          <cell r="F95" t="str">
            <v>1 kg</v>
          </cell>
        </row>
        <row r="96">
          <cell r="B96" t="str">
            <v>P046</v>
          </cell>
          <cell r="C96" t="str">
            <v>Small Sago 小丸</v>
          </cell>
          <cell r="D96"/>
          <cell r="E96" t="str">
            <v>-</v>
          </cell>
          <cell r="F96" t="str">
            <v>5 kgs</v>
          </cell>
        </row>
        <row r="97">
          <cell r="B97" t="str">
            <v>P047</v>
          </cell>
          <cell r="C97" t="str">
            <v>Small Sago 小丸</v>
          </cell>
          <cell r="D97"/>
          <cell r="E97" t="str">
            <v>S &amp; W</v>
          </cell>
          <cell r="F97" t="str">
            <v>1 kg</v>
          </cell>
        </row>
        <row r="98">
          <cell r="B98" t="str">
            <v>P048</v>
          </cell>
          <cell r="C98" t="str">
            <v>Dried Longan 龙眼干</v>
          </cell>
          <cell r="D98"/>
          <cell r="E98" t="str">
            <v>TL</v>
          </cell>
          <cell r="F98" t="str">
            <v>1 kg</v>
          </cell>
        </row>
        <row r="99">
          <cell r="B99" t="str">
            <v>P049</v>
          </cell>
          <cell r="C99" t="str">
            <v>Dried Longan 龙眼干</v>
          </cell>
          <cell r="D99"/>
          <cell r="E99" t="str">
            <v>中</v>
          </cell>
          <cell r="F99" t="str">
            <v>1 kg</v>
          </cell>
        </row>
        <row r="100">
          <cell r="B100" t="str">
            <v>P050</v>
          </cell>
          <cell r="C100" t="str">
            <v>Dried Longan (yellow) 果子肉</v>
          </cell>
          <cell r="D100"/>
          <cell r="E100" t="str">
            <v>TL</v>
          </cell>
          <cell r="F100" t="str">
            <v>1 kg</v>
          </cell>
        </row>
        <row r="101">
          <cell r="B101" t="str">
            <v>P051</v>
          </cell>
          <cell r="C101" t="str">
            <v>Fungus 黄木耳</v>
          </cell>
          <cell r="D101"/>
          <cell r="E101" t="str">
            <v>黄</v>
          </cell>
          <cell r="F101" t="str">
            <v>1 kg</v>
          </cell>
        </row>
        <row r="102">
          <cell r="B102" t="str">
            <v>P052</v>
          </cell>
          <cell r="C102" t="str">
            <v>White Fungus 白木耳朵</v>
          </cell>
          <cell r="D102"/>
          <cell r="E102" t="str">
            <v>白</v>
          </cell>
          <cell r="F102" t="str">
            <v>1 kg</v>
          </cell>
        </row>
        <row r="103">
          <cell r="B103" t="str">
            <v>P053</v>
          </cell>
          <cell r="C103" t="str">
            <v>Fungus黄 木耳朵</v>
          </cell>
          <cell r="D103"/>
          <cell r="E103" t="str">
            <v>黄</v>
          </cell>
          <cell r="F103" t="str">
            <v>1 kg</v>
          </cell>
        </row>
        <row r="104">
          <cell r="B104" t="str">
            <v>P054</v>
          </cell>
          <cell r="C104" t="str">
            <v>Lotus Seed 莲子(无）</v>
          </cell>
          <cell r="D104"/>
          <cell r="E104" t="str">
            <v>Fujian</v>
          </cell>
          <cell r="F104" t="str">
            <v>1 kg</v>
          </cell>
        </row>
        <row r="105">
          <cell r="B105" t="str">
            <v>P054A</v>
          </cell>
          <cell r="C105" t="str">
            <v>Lotus Seed 莲子</v>
          </cell>
          <cell r="D105"/>
          <cell r="E105" t="str">
            <v>Fujian</v>
          </cell>
          <cell r="F105" t="str">
            <v>1 kg</v>
          </cell>
        </row>
        <row r="106">
          <cell r="B106" t="str">
            <v>P055</v>
          </cell>
          <cell r="C106" t="str">
            <v>Red Date 红枣</v>
          </cell>
          <cell r="D106"/>
          <cell r="E106" t="str">
            <v>-</v>
          </cell>
          <cell r="F106" t="str">
            <v>1 kg</v>
          </cell>
        </row>
        <row r="107">
          <cell r="B107" t="str">
            <v>P056</v>
          </cell>
          <cell r="C107" t="str">
            <v>Dried Persimmon 柿子</v>
          </cell>
          <cell r="D107"/>
          <cell r="E107" t="str">
            <v>AA</v>
          </cell>
          <cell r="F107" t="str">
            <v>1 kg</v>
          </cell>
        </row>
        <row r="108">
          <cell r="B108" t="str">
            <v>P057</v>
          </cell>
          <cell r="C108" t="str">
            <v>GingKo Nut白果粒</v>
          </cell>
          <cell r="D108"/>
          <cell r="E108" t="str">
            <v>-</v>
          </cell>
          <cell r="F108" t="str">
            <v>5 kgs</v>
          </cell>
        </row>
        <row r="109">
          <cell r="B109" t="str">
            <v>P058</v>
          </cell>
          <cell r="C109" t="str">
            <v>GingKo Nut白果粒</v>
          </cell>
          <cell r="D109"/>
          <cell r="E109" t="str">
            <v>-</v>
          </cell>
          <cell r="F109" t="str">
            <v>1KG</v>
          </cell>
        </row>
        <row r="110">
          <cell r="B110" t="str">
            <v>P059</v>
          </cell>
          <cell r="C110" t="str">
            <v>Pong Thai Hai (Dry) 碰大海</v>
          </cell>
          <cell r="D110"/>
          <cell r="E110" t="str">
            <v>-</v>
          </cell>
          <cell r="F110" t="str">
            <v>1 kg</v>
          </cell>
        </row>
        <row r="111">
          <cell r="B111" t="str">
            <v>P060</v>
          </cell>
          <cell r="C111" t="str">
            <v>Bean Curd Sheet 腐竹</v>
          </cell>
          <cell r="D111"/>
          <cell r="E111" t="str">
            <v>丰</v>
          </cell>
          <cell r="F111" t="str">
            <v>150g/pkt</v>
          </cell>
        </row>
        <row r="112">
          <cell r="B112" t="str">
            <v>P061</v>
          </cell>
          <cell r="C112" t="str">
            <v>Bean Curd Sheet 腐竹</v>
          </cell>
          <cell r="D112"/>
          <cell r="E112" t="str">
            <v>生记</v>
          </cell>
          <cell r="F112" t="str">
            <v>150g/pkt</v>
          </cell>
        </row>
        <row r="113">
          <cell r="B113" t="str">
            <v>P061A</v>
          </cell>
          <cell r="C113" t="str">
            <v>Bean Curd Sheet 腐竹</v>
          </cell>
          <cell r="D113"/>
          <cell r="E113" t="str">
            <v>福</v>
          </cell>
          <cell r="F113" t="str">
            <v>120G/PKT</v>
          </cell>
        </row>
        <row r="114">
          <cell r="B114" t="str">
            <v>P062</v>
          </cell>
          <cell r="C114" t="str">
            <v>Sweeten Melon Strip冬瓜条</v>
          </cell>
          <cell r="D114"/>
          <cell r="E114" t="str">
            <v>Rabbit Brand</v>
          </cell>
          <cell r="F114" t="str">
            <v>3KGS/PKT</v>
          </cell>
        </row>
        <row r="115">
          <cell r="B115" t="str">
            <v>P063</v>
          </cell>
          <cell r="C115" t="str">
            <v>Wolfberry 枸杞子</v>
          </cell>
          <cell r="D115"/>
          <cell r="E115"/>
          <cell r="F115" t="str">
            <v>1 kg</v>
          </cell>
        </row>
        <row r="116">
          <cell r="B116" t="str">
            <v>P064</v>
          </cell>
          <cell r="C116" t="str">
            <v>Peanut 花生</v>
          </cell>
          <cell r="D116"/>
          <cell r="E116" t="str">
            <v>-</v>
          </cell>
          <cell r="F116" t="str">
            <v>12.5 kgs</v>
          </cell>
        </row>
        <row r="117">
          <cell r="B117" t="str">
            <v>P065</v>
          </cell>
          <cell r="C117" t="str">
            <v>陈皮</v>
          </cell>
          <cell r="D117"/>
          <cell r="E117" t="str">
            <v>-</v>
          </cell>
          <cell r="F117" t="str">
            <v>1 kg</v>
          </cell>
        </row>
        <row r="118">
          <cell r="B118" t="str">
            <v>P066</v>
          </cell>
          <cell r="C118" t="str">
            <v>Rock Sugar冰糖</v>
          </cell>
          <cell r="D118"/>
          <cell r="E118" t="str">
            <v>-</v>
          </cell>
          <cell r="F118" t="str">
            <v>3 KGS/PKT</v>
          </cell>
        </row>
        <row r="119">
          <cell r="B119" t="str">
            <v>P067</v>
          </cell>
          <cell r="C119" t="str">
            <v>Brown Sugar 黑糖</v>
          </cell>
          <cell r="D119"/>
          <cell r="E119" t="str">
            <v>Star</v>
          </cell>
          <cell r="F119" t="str">
            <v>6 kgs</v>
          </cell>
        </row>
        <row r="120">
          <cell r="B120" t="str">
            <v>P068</v>
          </cell>
          <cell r="C120" t="str">
            <v>Red Sugar 赤糖</v>
          </cell>
          <cell r="D120"/>
          <cell r="E120" t="str">
            <v>-</v>
          </cell>
          <cell r="F120" t="str">
            <v>6 kgs</v>
          </cell>
        </row>
        <row r="121">
          <cell r="B121" t="str">
            <v>P069</v>
          </cell>
          <cell r="C121" t="str">
            <v>Red Sugar 赤糖</v>
          </cell>
          <cell r="D121"/>
          <cell r="E121" t="str">
            <v>-</v>
          </cell>
          <cell r="F121" t="str">
            <v>3 kgs</v>
          </cell>
        </row>
        <row r="122">
          <cell r="B122" t="str">
            <v>P070</v>
          </cell>
          <cell r="C122" t="str">
            <v>Fine Sugar 白糖</v>
          </cell>
          <cell r="D122"/>
          <cell r="E122" t="str">
            <v>-</v>
          </cell>
          <cell r="F122" t="str">
            <v>5 kgs</v>
          </cell>
        </row>
        <row r="123">
          <cell r="B123" t="str">
            <v>P071</v>
          </cell>
          <cell r="C123" t="str">
            <v>Fine Sugar 白糖</v>
          </cell>
          <cell r="D123"/>
          <cell r="E123" t="str">
            <v>-</v>
          </cell>
          <cell r="F123" t="str">
            <v>2 kgs</v>
          </cell>
        </row>
        <row r="124">
          <cell r="B124" t="str">
            <v>P072</v>
          </cell>
          <cell r="C124" t="str">
            <v>Fine Salt  幼盐</v>
          </cell>
          <cell r="D124"/>
          <cell r="E124" t="str">
            <v>-</v>
          </cell>
          <cell r="F124" t="str">
            <v>500 gms</v>
          </cell>
        </row>
        <row r="125">
          <cell r="B125" t="str">
            <v>P073</v>
          </cell>
          <cell r="C125" t="str">
            <v>SALT 盐</v>
          </cell>
          <cell r="D125"/>
          <cell r="E125" t="str">
            <v>-</v>
          </cell>
          <cell r="F125" t="str">
            <v>3 kgs</v>
          </cell>
        </row>
        <row r="126">
          <cell r="B126" t="str">
            <v>P074</v>
          </cell>
          <cell r="C126" t="str">
            <v>Sweet Potato Powder番薯粉</v>
          </cell>
          <cell r="D126"/>
          <cell r="E126" t="str">
            <v>-</v>
          </cell>
          <cell r="F126" t="str">
            <v>3 kgs</v>
          </cell>
        </row>
        <row r="127">
          <cell r="B127" t="str">
            <v>P075</v>
          </cell>
          <cell r="C127" t="str">
            <v>Sweet Potato Powder番薯粉</v>
          </cell>
          <cell r="D127"/>
          <cell r="E127" t="str">
            <v>-</v>
          </cell>
          <cell r="F127" t="str">
            <v>500gm x 20包</v>
          </cell>
        </row>
        <row r="128">
          <cell r="B128" t="str">
            <v>P076</v>
          </cell>
          <cell r="C128" t="str">
            <v>Tapioca Flour 茨粉</v>
          </cell>
          <cell r="D128"/>
          <cell r="E128" t="str">
            <v>F/MAN</v>
          </cell>
          <cell r="F128" t="str">
            <v>500gm/pkt</v>
          </cell>
        </row>
        <row r="129">
          <cell r="B129" t="str">
            <v>P077</v>
          </cell>
          <cell r="C129" t="str">
            <v>Potato Starch 风车粉</v>
          </cell>
          <cell r="D129"/>
          <cell r="E129" t="str">
            <v>Windmill</v>
          </cell>
          <cell r="F129" t="str">
            <v>5 kg</v>
          </cell>
        </row>
        <row r="130">
          <cell r="B130" t="str">
            <v>P078</v>
          </cell>
          <cell r="C130" t="str">
            <v>Tapioca木薯</v>
          </cell>
          <cell r="D130"/>
          <cell r="E130" t="str">
            <v>-</v>
          </cell>
          <cell r="F130" t="str">
            <v>1 kg</v>
          </cell>
        </row>
        <row r="131">
          <cell r="B131" t="str">
            <v>P079</v>
          </cell>
          <cell r="C131" t="str">
            <v>Sweet Potato 番薯</v>
          </cell>
          <cell r="D131"/>
          <cell r="E131" t="str">
            <v>-</v>
          </cell>
          <cell r="F131" t="str">
            <v>1 KG</v>
          </cell>
        </row>
        <row r="132">
          <cell r="B132" t="str">
            <v>P080</v>
          </cell>
          <cell r="C132" t="str">
            <v>Sweet Potato 番薯</v>
          </cell>
          <cell r="D132"/>
          <cell r="E132" t="str">
            <v>-</v>
          </cell>
          <cell r="F132" t="str">
            <v>10 kg</v>
          </cell>
        </row>
        <row r="133">
          <cell r="B133" t="str">
            <v>P081</v>
          </cell>
          <cell r="C133" t="str">
            <v>Sweet Potato 番薯</v>
          </cell>
          <cell r="D133"/>
          <cell r="E133" t="str">
            <v>-</v>
          </cell>
          <cell r="F133" t="str">
            <v>8 kgs</v>
          </cell>
        </row>
        <row r="134">
          <cell r="B134" t="str">
            <v>P082</v>
          </cell>
          <cell r="C134" t="str">
            <v>Yam 芋头</v>
          </cell>
          <cell r="D134" t="str">
            <v>Thiland</v>
          </cell>
          <cell r="E134" t="str">
            <v>-</v>
          </cell>
          <cell r="F134" t="str">
            <v>1 KG</v>
          </cell>
        </row>
        <row r="135">
          <cell r="B135" t="str">
            <v>P082A</v>
          </cell>
          <cell r="C135" t="str">
            <v>Yam 芋头</v>
          </cell>
          <cell r="D135" t="str">
            <v>Malaysia</v>
          </cell>
          <cell r="E135" t="str">
            <v>-</v>
          </cell>
          <cell r="F135" t="str">
            <v>1 KG</v>
          </cell>
        </row>
        <row r="136">
          <cell r="B136" t="str">
            <v>P083</v>
          </cell>
          <cell r="C136" t="str">
            <v>Yam 芋头去皮</v>
          </cell>
          <cell r="D136"/>
          <cell r="E136" t="str">
            <v>-</v>
          </cell>
          <cell r="F136" t="str">
            <v>1 KG</v>
          </cell>
        </row>
        <row r="137">
          <cell r="B137" t="str">
            <v>P084</v>
          </cell>
          <cell r="C137" t="str">
            <v>Pandan Leaf 班兰叶</v>
          </cell>
          <cell r="D137"/>
          <cell r="E137" t="str">
            <v>-</v>
          </cell>
          <cell r="F137" t="str">
            <v>1 kg</v>
          </cell>
        </row>
        <row r="138">
          <cell r="B138" t="str">
            <v>P085</v>
          </cell>
          <cell r="C138" t="str">
            <v>Lime 酸甘</v>
          </cell>
          <cell r="D138"/>
          <cell r="E138" t="str">
            <v>-</v>
          </cell>
          <cell r="F138" t="str">
            <v>1 kg</v>
          </cell>
        </row>
        <row r="139">
          <cell r="B139" t="str">
            <v>P086</v>
          </cell>
          <cell r="C139" t="str">
            <v>Water Chestnut 马蹄</v>
          </cell>
          <cell r="D139"/>
          <cell r="E139" t="str">
            <v>-</v>
          </cell>
          <cell r="F139" t="str">
            <v>1kg</v>
          </cell>
        </row>
        <row r="140">
          <cell r="B140" t="str">
            <v>P087</v>
          </cell>
          <cell r="C140" t="str">
            <v>Water Chestnut 马蹄</v>
          </cell>
          <cell r="D140"/>
          <cell r="E140" t="str">
            <v>-</v>
          </cell>
          <cell r="F140" t="str">
            <v>1 KG</v>
          </cell>
        </row>
        <row r="141">
          <cell r="B141" t="str">
            <v>P088</v>
          </cell>
          <cell r="C141" t="str">
            <v>Ginger 老姜</v>
          </cell>
          <cell r="D141"/>
          <cell r="E141" t="str">
            <v>-</v>
          </cell>
          <cell r="F141" t="str">
            <v>1 kg</v>
          </cell>
        </row>
        <row r="142">
          <cell r="B142" t="str">
            <v>P089</v>
          </cell>
          <cell r="C142" t="str">
            <v>Yu Tiao 油条</v>
          </cell>
          <cell r="D142"/>
          <cell r="E142" t="str">
            <v>-</v>
          </cell>
          <cell r="F142" t="str">
            <v>1 pc</v>
          </cell>
        </row>
        <row r="143">
          <cell r="B143" t="str">
            <v>P090</v>
          </cell>
          <cell r="C143" t="str">
            <v>Food Coloring - Liquid)颜色-水</v>
          </cell>
          <cell r="D143"/>
          <cell r="E143" t="str">
            <v>Red/红</v>
          </cell>
          <cell r="F143" t="str">
            <v>500 ML/BTL</v>
          </cell>
        </row>
        <row r="144">
          <cell r="B144" t="str">
            <v>P091</v>
          </cell>
          <cell r="C144" t="str">
            <v>Food Coloring - Liquid)颜色-水</v>
          </cell>
          <cell r="D144"/>
          <cell r="E144" t="str">
            <v>Black/黑</v>
          </cell>
          <cell r="F144" t="str">
            <v>500 ML/BTL</v>
          </cell>
        </row>
        <row r="145">
          <cell r="B145" t="str">
            <v>P092</v>
          </cell>
          <cell r="C145" t="str">
            <v>Food Coloring Powder  色粉</v>
          </cell>
          <cell r="D145"/>
          <cell r="E145" t="str">
            <v>Red/红</v>
          </cell>
          <cell r="F145" t="str">
            <v>400 gms</v>
          </cell>
        </row>
        <row r="146">
          <cell r="B146" t="str">
            <v>P093</v>
          </cell>
          <cell r="C146" t="str">
            <v>Potato Starch 风车粉</v>
          </cell>
          <cell r="D146"/>
          <cell r="E146" t="str">
            <v>-</v>
          </cell>
          <cell r="F146" t="str">
            <v>5 kg</v>
          </cell>
        </row>
        <row r="147">
          <cell r="B147" t="str">
            <v>P094</v>
          </cell>
          <cell r="C147" t="str">
            <v>GingKo Nut (Peel off)白果仁</v>
          </cell>
          <cell r="D147"/>
          <cell r="E147" t="str">
            <v>-</v>
          </cell>
          <cell r="F147" t="str">
            <v>500 gm x 24/箱</v>
          </cell>
        </row>
        <row r="148">
          <cell r="B148" t="str">
            <v>P095</v>
          </cell>
          <cell r="C148" t="str">
            <v>Food Coloring - Liquid)颜色-水</v>
          </cell>
          <cell r="D148"/>
          <cell r="E148" t="str">
            <v>Green青</v>
          </cell>
          <cell r="F148" t="str">
            <v>500 ML/BTL</v>
          </cell>
        </row>
        <row r="149">
          <cell r="B149" t="str">
            <v>P096</v>
          </cell>
          <cell r="C149" t="str">
            <v>Food Coloring - Liquid)颜色-水</v>
          </cell>
          <cell r="D149"/>
          <cell r="E149" t="str">
            <v>Yellow黄</v>
          </cell>
          <cell r="F149" t="str">
            <v>500 ML/BTL</v>
          </cell>
        </row>
        <row r="150">
          <cell r="B150" t="str">
            <v>P097</v>
          </cell>
          <cell r="C150" t="str">
            <v>Almond Power- Yellow- 杏仁粉</v>
          </cell>
          <cell r="D150"/>
          <cell r="E150"/>
          <cell r="F150"/>
        </row>
        <row r="151">
          <cell r="B151" t="str">
            <v>P098</v>
          </cell>
          <cell r="C151" t="str">
            <v>Food Coloring Powder  色粉</v>
          </cell>
          <cell r="D151"/>
          <cell r="E151" t="str">
            <v>Green青</v>
          </cell>
          <cell r="F151" t="str">
            <v>400 gms</v>
          </cell>
        </row>
        <row r="152">
          <cell r="B152" t="str">
            <v>P099</v>
          </cell>
          <cell r="C152" t="str">
            <v>Food Coloring Powder  色粉</v>
          </cell>
          <cell r="D152"/>
          <cell r="E152" t="str">
            <v>Yellow黄</v>
          </cell>
          <cell r="F152" t="str">
            <v>400 gms</v>
          </cell>
        </row>
        <row r="153">
          <cell r="B153" t="str">
            <v>P100</v>
          </cell>
          <cell r="C153" t="str">
            <v>BUTTERFLY PEAS</v>
          </cell>
          <cell r="D153"/>
          <cell r="E153" t="str">
            <v>-</v>
          </cell>
          <cell r="F153" t="str">
            <v>50 GMS</v>
          </cell>
        </row>
        <row r="154">
          <cell r="B154" t="str">
            <v>P101</v>
          </cell>
          <cell r="C154" t="str">
            <v>Peanut 花生</v>
          </cell>
          <cell r="D154"/>
          <cell r="E154" t="str">
            <v>-</v>
          </cell>
          <cell r="F154" t="str">
            <v>5 KGS</v>
          </cell>
        </row>
        <row r="155">
          <cell r="B155" t="str">
            <v>P102</v>
          </cell>
          <cell r="C155" t="str">
            <v>SODA 苏打粉 (KEE)</v>
          </cell>
          <cell r="D155"/>
          <cell r="E155"/>
          <cell r="F155"/>
        </row>
        <row r="156">
          <cell r="B156" t="str">
            <v>P103</v>
          </cell>
          <cell r="C156" t="str">
            <v>GingKo Nut白果罐</v>
          </cell>
          <cell r="D156"/>
          <cell r="E156" t="str">
            <v>Mini</v>
          </cell>
          <cell r="F156" t="str">
            <v>(397gm x 12)/箱</v>
          </cell>
        </row>
        <row r="157">
          <cell r="B157" t="str">
            <v>P104</v>
          </cell>
          <cell r="C157" t="str">
            <v>Peanut 花生</v>
          </cell>
          <cell r="D157"/>
          <cell r="E157" t="str">
            <v>-</v>
          </cell>
          <cell r="F157" t="str">
            <v>5 KGS</v>
          </cell>
        </row>
        <row r="158">
          <cell r="B158" t="str">
            <v>P105</v>
          </cell>
          <cell r="C158" t="str">
            <v>Lotus Seed 莲子</v>
          </cell>
          <cell r="D158"/>
          <cell r="E158" t="str">
            <v>Fujian</v>
          </cell>
          <cell r="F158" t="str">
            <v>1 kg</v>
          </cell>
        </row>
        <row r="159">
          <cell r="B159" t="str">
            <v>P106</v>
          </cell>
          <cell r="C159" t="str">
            <v>Peanut  powder 花生</v>
          </cell>
          <cell r="D159"/>
          <cell r="E159" t="str">
            <v>-</v>
          </cell>
          <cell r="F159" t="str">
            <v>1 kg</v>
          </cell>
        </row>
        <row r="160">
          <cell r="B160" t="str">
            <v>P107</v>
          </cell>
          <cell r="C160" t="str">
            <v xml:space="preserve">Green Bean Starch </v>
          </cell>
          <cell r="D160"/>
          <cell r="E160" t="str">
            <v>-</v>
          </cell>
          <cell r="F160" t="str">
            <v>1kg</v>
          </cell>
        </row>
        <row r="161">
          <cell r="B161"/>
          <cell r="C161"/>
          <cell r="D161"/>
          <cell r="E161" t="str">
            <v>-</v>
          </cell>
          <cell r="F161"/>
        </row>
        <row r="162">
          <cell r="B162" t="str">
            <v>R001</v>
          </cell>
          <cell r="C162" t="str">
            <v>Atap Seeds in Syrup亚嗒子</v>
          </cell>
          <cell r="D162"/>
          <cell r="E162" t="str">
            <v>-</v>
          </cell>
          <cell r="F162" t="str">
            <v>20 kgs/桶</v>
          </cell>
        </row>
        <row r="163">
          <cell r="B163" t="str">
            <v>R002</v>
          </cell>
          <cell r="C163" t="str">
            <v>Sea Coconut海底椰</v>
          </cell>
          <cell r="D163"/>
          <cell r="E163" t="str">
            <v>MiLi</v>
          </cell>
          <cell r="F163" t="str">
            <v>(565gm x 12)/箱</v>
          </cell>
        </row>
        <row r="164">
          <cell r="B164" t="str">
            <v>R003</v>
          </cell>
          <cell r="C164" t="str">
            <v>Longan in Syrup龙眼</v>
          </cell>
          <cell r="D164"/>
          <cell r="E164" t="str">
            <v>Yit Hong</v>
          </cell>
          <cell r="F164" t="str">
            <v>(565gm x 12)/箱</v>
          </cell>
        </row>
        <row r="165">
          <cell r="B165" t="str">
            <v>R004</v>
          </cell>
          <cell r="C165" t="str">
            <v>Longan in Syrup龙眼</v>
          </cell>
          <cell r="D165"/>
          <cell r="E165" t="str">
            <v>MiLi</v>
          </cell>
          <cell r="F165" t="str">
            <v>(565gm x 12)/箱</v>
          </cell>
        </row>
        <row r="166">
          <cell r="B166" t="str">
            <v>R005</v>
          </cell>
          <cell r="C166" t="str">
            <v>Lychee in Syrup荔枝</v>
          </cell>
          <cell r="D166"/>
          <cell r="E166" t="str">
            <v>黑叶</v>
          </cell>
          <cell r="F166" t="str">
            <v>(567gm x 12)/箱</v>
          </cell>
        </row>
        <row r="167">
          <cell r="B167" t="str">
            <v>R006</v>
          </cell>
          <cell r="C167" t="str">
            <v>Lychee in Syrup荔枝</v>
          </cell>
          <cell r="D167"/>
          <cell r="E167" t="str">
            <v>mili</v>
          </cell>
          <cell r="F167" t="str">
            <v>12can/箱</v>
          </cell>
        </row>
        <row r="168">
          <cell r="B168" t="str">
            <v>R006A</v>
          </cell>
          <cell r="C168" t="str">
            <v>Lychee in Syrup荔枝</v>
          </cell>
          <cell r="D168"/>
          <cell r="E168" t="str">
            <v>Yit Hong</v>
          </cell>
          <cell r="F168" t="str">
            <v>24can/箱</v>
          </cell>
        </row>
        <row r="169">
          <cell r="B169" t="str">
            <v>R007</v>
          </cell>
          <cell r="C169" t="str">
            <v>Fruit Cocktail杂果</v>
          </cell>
          <cell r="D169"/>
          <cell r="E169" t="str">
            <v>Champ</v>
          </cell>
          <cell r="F169" t="str">
            <v>(820gm x 12)/箱</v>
          </cell>
        </row>
        <row r="170">
          <cell r="B170" t="str">
            <v>R008</v>
          </cell>
          <cell r="C170" t="str">
            <v>Fruit Cocktail杂果</v>
          </cell>
          <cell r="D170"/>
          <cell r="E170" t="str">
            <v>Statue</v>
          </cell>
          <cell r="F170" t="str">
            <v>(820gm x 12)/箱</v>
          </cell>
        </row>
        <row r="171">
          <cell r="B171" t="str">
            <v>R009</v>
          </cell>
          <cell r="C171" t="str">
            <v>Cream Corn玉米浆</v>
          </cell>
          <cell r="D171"/>
          <cell r="E171" t="str">
            <v>Statue</v>
          </cell>
          <cell r="F171" t="str">
            <v>(425gm x 24)/箱</v>
          </cell>
        </row>
        <row r="172">
          <cell r="B172" t="str">
            <v>R009A</v>
          </cell>
          <cell r="C172" t="str">
            <v>Cream Corn玉米浆</v>
          </cell>
          <cell r="D172"/>
          <cell r="E172" t="str">
            <v>Statue</v>
          </cell>
          <cell r="F172" t="str">
            <v>(425gm x 12)/箱</v>
          </cell>
        </row>
        <row r="173">
          <cell r="B173" t="str">
            <v>R010</v>
          </cell>
          <cell r="C173" t="str">
            <v>Whole Corn玉米粒</v>
          </cell>
          <cell r="D173"/>
          <cell r="E173" t="str">
            <v>statue</v>
          </cell>
          <cell r="F173" t="str">
            <v>(410gm x 24)/箱</v>
          </cell>
        </row>
        <row r="174">
          <cell r="B174" t="str">
            <v>R010A</v>
          </cell>
          <cell r="C174" t="str">
            <v>Whole Corn玉米粒</v>
          </cell>
          <cell r="D174"/>
          <cell r="E174" t="str">
            <v>statue</v>
          </cell>
          <cell r="F174" t="str">
            <v>(410gm x 12)/箱</v>
          </cell>
        </row>
        <row r="175">
          <cell r="B175" t="str">
            <v>R011</v>
          </cell>
          <cell r="C175" t="str">
            <v>Whole Corn玉米粒</v>
          </cell>
          <cell r="D175"/>
          <cell r="E175" t="str">
            <v>Champ</v>
          </cell>
          <cell r="F175" t="str">
            <v>(425gm x 24)/箱</v>
          </cell>
        </row>
        <row r="176">
          <cell r="B176" t="str">
            <v>R012</v>
          </cell>
          <cell r="C176" t="str">
            <v>Carnation Milk淡奶水</v>
          </cell>
          <cell r="D176"/>
          <cell r="E176" t="str">
            <v>三花</v>
          </cell>
          <cell r="F176" t="str">
            <v>Ctn/箱</v>
          </cell>
        </row>
        <row r="177">
          <cell r="B177" t="str">
            <v>R012A</v>
          </cell>
          <cell r="C177" t="str">
            <v>Carnation Milk淡奶水</v>
          </cell>
          <cell r="D177"/>
          <cell r="E177" t="str">
            <v>三花</v>
          </cell>
          <cell r="F177" t="str">
            <v>405gm/can/罐</v>
          </cell>
        </row>
        <row r="178">
          <cell r="B178" t="str">
            <v>R013</v>
          </cell>
          <cell r="C178" t="str">
            <v>Carnation Milk淡奶水</v>
          </cell>
          <cell r="D178"/>
          <cell r="E178" t="str">
            <v>Marigo牛</v>
          </cell>
          <cell r="F178" t="str">
            <v>Ctn/箱</v>
          </cell>
        </row>
        <row r="179">
          <cell r="B179" t="str">
            <v>R013A</v>
          </cell>
          <cell r="C179" t="str">
            <v>Carnation Milk淡奶水</v>
          </cell>
          <cell r="D179"/>
          <cell r="E179" t="str">
            <v>Marigo牛</v>
          </cell>
          <cell r="F179" t="str">
            <v>405gm/can/罐</v>
          </cell>
        </row>
        <row r="180">
          <cell r="B180" t="str">
            <v>R014</v>
          </cell>
          <cell r="C180" t="str">
            <v>Condnation Milk 练奶</v>
          </cell>
          <cell r="D180"/>
          <cell r="E180" t="str">
            <v>Dawn牛</v>
          </cell>
          <cell r="F180" t="str">
            <v>Ctn/箱</v>
          </cell>
        </row>
        <row r="181">
          <cell r="B181" t="str">
            <v>R015</v>
          </cell>
          <cell r="C181" t="str">
            <v>GingKo Nut白果罐</v>
          </cell>
          <cell r="D181"/>
          <cell r="E181" t="str">
            <v>Mini</v>
          </cell>
          <cell r="F181" t="str">
            <v>(397gm x 24)/箱</v>
          </cell>
        </row>
        <row r="182">
          <cell r="B182" t="str">
            <v>R016</v>
          </cell>
          <cell r="C182" t="str">
            <v>Peach 桃畔</v>
          </cell>
          <cell r="D182"/>
          <cell r="E182" t="str">
            <v>Royal M</v>
          </cell>
          <cell r="F182" t="str">
            <v>12can/箱</v>
          </cell>
        </row>
        <row r="183">
          <cell r="B183" t="str">
            <v>R017</v>
          </cell>
          <cell r="C183" t="str">
            <v>Water Chestnut 马蹄 - 箱</v>
          </cell>
          <cell r="D183"/>
          <cell r="E183" t="str">
            <v>-</v>
          </cell>
          <cell r="F183" t="str">
            <v>(567gm x 24)/箱</v>
          </cell>
        </row>
        <row r="184">
          <cell r="B184" t="str">
            <v>R018</v>
          </cell>
          <cell r="C184" t="str">
            <v xml:space="preserve">Baked Beans </v>
          </cell>
          <cell r="D184"/>
          <cell r="E184" t="str">
            <v>Statue</v>
          </cell>
          <cell r="F184" t="str">
            <v>(425gm x 24)/箱</v>
          </cell>
        </row>
        <row r="185">
          <cell r="B185" t="str">
            <v>R019</v>
          </cell>
          <cell r="C185" t="str">
            <v>Chilli 辣椒酱</v>
          </cell>
          <cell r="D185"/>
          <cell r="E185" t="str">
            <v>-</v>
          </cell>
          <cell r="F185" t="str">
            <v>??</v>
          </cell>
        </row>
        <row r="186">
          <cell r="B186" t="str">
            <v>R020</v>
          </cell>
          <cell r="C186" t="str">
            <v>Coconut Milk 椰浆</v>
          </cell>
          <cell r="D186"/>
          <cell r="E186" t="str">
            <v>Kara UHT</v>
          </cell>
          <cell r="F186" t="str">
            <v>(1L x 12bag)/箱</v>
          </cell>
        </row>
        <row r="187">
          <cell r="B187" t="str">
            <v>R020A</v>
          </cell>
          <cell r="C187" t="str">
            <v>Coconut Milk 椰浆</v>
          </cell>
          <cell r="D187"/>
          <cell r="E187" t="str">
            <v>Kara UHT</v>
          </cell>
          <cell r="F187" t="str">
            <v>1 Lt/BOX</v>
          </cell>
        </row>
        <row r="188">
          <cell r="B188" t="str">
            <v>R021</v>
          </cell>
          <cell r="C188" t="str">
            <v>Coconut Milk 椰浆</v>
          </cell>
          <cell r="D188"/>
          <cell r="E188" t="str">
            <v>Sin-ind</v>
          </cell>
          <cell r="F188" t="str">
            <v>(1L x 12bag)/箱</v>
          </cell>
        </row>
        <row r="189">
          <cell r="B189" t="str">
            <v>R022</v>
          </cell>
          <cell r="C189" t="str">
            <v>Coconut Milk 椰浆</v>
          </cell>
          <cell r="D189"/>
          <cell r="E189" t="str">
            <v>Kara UHT</v>
          </cell>
          <cell r="F189" t="str">
            <v>200gm x 30bag/箱</v>
          </cell>
        </row>
        <row r="190">
          <cell r="B190" t="str">
            <v>R023</v>
          </cell>
          <cell r="C190" t="str">
            <v>Lime Juice 柠檬汁</v>
          </cell>
          <cell r="D190"/>
          <cell r="E190" t="str">
            <v>-</v>
          </cell>
          <cell r="F190" t="str">
            <v>6 BOTTLE</v>
          </cell>
        </row>
        <row r="191">
          <cell r="B191" t="str">
            <v>R024</v>
          </cell>
          <cell r="C191" t="str">
            <v>Water Chestnut Juice 马蹄水</v>
          </cell>
          <cell r="D191"/>
          <cell r="E191" t="str">
            <v>-</v>
          </cell>
          <cell r="F191" t="str">
            <v>4 lt</v>
          </cell>
        </row>
        <row r="192">
          <cell r="B192" t="str">
            <v>R025</v>
          </cell>
          <cell r="C192" t="str">
            <v>Calamansi Juice 酸柑水</v>
          </cell>
          <cell r="D192"/>
          <cell r="E192" t="str">
            <v>-</v>
          </cell>
          <cell r="F192" t="str">
            <v>4 lt</v>
          </cell>
        </row>
        <row r="193">
          <cell r="B193" t="str">
            <v>R026</v>
          </cell>
          <cell r="C193" t="str">
            <v>Sour Plum Juice 酸梅水</v>
          </cell>
          <cell r="D193"/>
          <cell r="E193" t="str">
            <v>-</v>
          </cell>
          <cell r="F193" t="str">
            <v>4 lt</v>
          </cell>
        </row>
        <row r="194">
          <cell r="B194" t="str">
            <v>R027</v>
          </cell>
          <cell r="C194" t="str">
            <v>Rose Juice 玫瑰水</v>
          </cell>
          <cell r="D194"/>
          <cell r="E194" t="str">
            <v>-</v>
          </cell>
          <cell r="F194" t="str">
            <v>4 lt</v>
          </cell>
        </row>
        <row r="195">
          <cell r="B195" t="str">
            <v>R028</v>
          </cell>
          <cell r="C195" t="str">
            <v>Butter 牛油</v>
          </cell>
          <cell r="D195"/>
          <cell r="E195" t="str">
            <v>-</v>
          </cell>
          <cell r="F195" t="str">
            <v>1 box</v>
          </cell>
        </row>
        <row r="196">
          <cell r="B196" t="str">
            <v>R029</v>
          </cell>
          <cell r="C196" t="str">
            <v>Red Bean红豆</v>
          </cell>
          <cell r="D196"/>
          <cell r="E196"/>
          <cell r="F196" t="str">
            <v>25 kgs/bag</v>
          </cell>
        </row>
        <row r="197">
          <cell r="B197" t="str">
            <v>R030</v>
          </cell>
          <cell r="C197" t="str">
            <v>Green Bean 绿豆</v>
          </cell>
          <cell r="D197"/>
          <cell r="E197"/>
          <cell r="F197" t="str">
            <v>25 kgs/bag</v>
          </cell>
        </row>
        <row r="198">
          <cell r="B198" t="str">
            <v>R031</v>
          </cell>
          <cell r="C198" t="str">
            <v>Split Green Mung Bean豆畔</v>
          </cell>
          <cell r="D198"/>
          <cell r="E198" t="str">
            <v>TH/Lion</v>
          </cell>
          <cell r="F198" t="str">
            <v>30 kgs/bag</v>
          </cell>
        </row>
        <row r="199">
          <cell r="B199" t="str">
            <v>R032</v>
          </cell>
          <cell r="C199" t="str">
            <v>Split Green Mung Bean豆畔</v>
          </cell>
          <cell r="D199"/>
          <cell r="E199" t="str">
            <v>TH/SW</v>
          </cell>
          <cell r="F199" t="str">
            <v>30 kgs/bag</v>
          </cell>
        </row>
        <row r="200">
          <cell r="B200" t="str">
            <v>R033</v>
          </cell>
          <cell r="C200" t="str">
            <v>Black Glutinous Rice 黑糯米</v>
          </cell>
          <cell r="D200"/>
          <cell r="E200" t="str">
            <v>INDONESIA</v>
          </cell>
          <cell r="F200" t="str">
            <v>25 kgs/Bag</v>
          </cell>
        </row>
        <row r="201">
          <cell r="B201" t="str">
            <v>R034</v>
          </cell>
          <cell r="C201" t="str">
            <v>White Glutinous Rice白糯米</v>
          </cell>
          <cell r="D201"/>
          <cell r="E201" t="str">
            <v>Thai</v>
          </cell>
          <cell r="F201" t="str">
            <v>50 kgs/Bag</v>
          </cell>
        </row>
        <row r="202">
          <cell r="B202" t="str">
            <v>R035</v>
          </cell>
          <cell r="C202" t="str">
            <v>Sweeten Melon Strip冬瓜条</v>
          </cell>
          <cell r="D202"/>
          <cell r="E202" t="str">
            <v>Rabbit Brand</v>
          </cell>
          <cell r="F202" t="str">
            <v xml:space="preserve">3KGS x 10pkt </v>
          </cell>
        </row>
        <row r="203">
          <cell r="B203" t="str">
            <v>R036</v>
          </cell>
          <cell r="C203" t="str">
            <v>Dried Longan 龙眼干</v>
          </cell>
          <cell r="D203"/>
          <cell r="E203" t="str">
            <v>中</v>
          </cell>
          <cell r="F203" t="str">
            <v>10 kgs/Pkt</v>
          </cell>
        </row>
        <row r="204">
          <cell r="B204" t="str">
            <v>R037</v>
          </cell>
          <cell r="C204" t="str">
            <v>Bean Curd Sheet 腐竹</v>
          </cell>
          <cell r="D204"/>
          <cell r="E204" t="str">
            <v>Maru Sun</v>
          </cell>
          <cell r="F204" t="str">
            <v>150g/pkt x 40pkt</v>
          </cell>
        </row>
        <row r="205">
          <cell r="B205" t="str">
            <v>R038</v>
          </cell>
          <cell r="C205" t="str">
            <v>Sour Plum 酸梅</v>
          </cell>
          <cell r="D205"/>
          <cell r="E205" t="str">
            <v>-</v>
          </cell>
          <cell r="F205" t="str">
            <v>2 kgs</v>
          </cell>
        </row>
        <row r="206">
          <cell r="B206" t="str">
            <v>R039</v>
          </cell>
          <cell r="C206" t="str">
            <v>Sour Plum 酸梅（无子）</v>
          </cell>
          <cell r="D206"/>
          <cell r="E206" t="str">
            <v>-</v>
          </cell>
          <cell r="F206" t="str">
            <v>1 kg</v>
          </cell>
        </row>
        <row r="207">
          <cell r="B207" t="str">
            <v>R040</v>
          </cell>
          <cell r="C207" t="str">
            <v>Colour Rice 七彩米</v>
          </cell>
          <cell r="D207"/>
          <cell r="E207" t="str">
            <v>-</v>
          </cell>
          <cell r="F207" t="str">
            <v>1kg</v>
          </cell>
        </row>
        <row r="208">
          <cell r="B208" t="str">
            <v>R041</v>
          </cell>
          <cell r="C208" t="str">
            <v>CoCo Rice 可可米</v>
          </cell>
          <cell r="D208"/>
          <cell r="E208" t="str">
            <v>-</v>
          </cell>
          <cell r="F208" t="str">
            <v>1kg</v>
          </cell>
        </row>
        <row r="209">
          <cell r="B209" t="str">
            <v>R042</v>
          </cell>
          <cell r="C209" t="str">
            <v>海草 Coral Weed</v>
          </cell>
          <cell r="D209"/>
          <cell r="E209" t="str">
            <v>-</v>
          </cell>
          <cell r="F209" t="str">
            <v>1kg</v>
          </cell>
        </row>
        <row r="210">
          <cell r="B210" t="str">
            <v>R043</v>
          </cell>
          <cell r="C210" t="str">
            <v>Coconut Sugar椰糖</v>
          </cell>
          <cell r="D210"/>
          <cell r="E210" t="str">
            <v>2P</v>
          </cell>
          <cell r="F210" t="str">
            <v>10kgs/ctn</v>
          </cell>
        </row>
        <row r="211">
          <cell r="B211" t="str">
            <v>R044</v>
          </cell>
          <cell r="C211" t="str">
            <v>Coconut Sugar椰糖</v>
          </cell>
          <cell r="D211"/>
          <cell r="E211" t="str">
            <v>BL BRAND</v>
          </cell>
          <cell r="F211" t="str">
            <v>10kgs/ctn</v>
          </cell>
        </row>
        <row r="212">
          <cell r="B212" t="str">
            <v>R045</v>
          </cell>
          <cell r="C212" t="str">
            <v>Coconut Sugar椰糖</v>
          </cell>
          <cell r="D212"/>
          <cell r="E212" t="str">
            <v>Indonesia</v>
          </cell>
          <cell r="F212" t="str">
            <v>10kgs/ctn</v>
          </cell>
        </row>
        <row r="213">
          <cell r="B213" t="str">
            <v>R046</v>
          </cell>
          <cell r="C213" t="str">
            <v>Coconut Sugar椰糖</v>
          </cell>
          <cell r="D213"/>
          <cell r="E213" t="str">
            <v>KHS</v>
          </cell>
          <cell r="F213" t="str">
            <v>10kgs/ctn</v>
          </cell>
        </row>
        <row r="214">
          <cell r="B214" t="str">
            <v>R047</v>
          </cell>
          <cell r="C214" t="str">
            <v>Fine Sugar 白糖</v>
          </cell>
          <cell r="D214"/>
          <cell r="E214" t="str">
            <v>Mitrphol</v>
          </cell>
          <cell r="F214" t="str">
            <v>25 kgs/Bag</v>
          </cell>
        </row>
        <row r="215">
          <cell r="B215" t="str">
            <v>R048</v>
          </cell>
          <cell r="C215" t="str">
            <v>Candy Sugar 片糖</v>
          </cell>
          <cell r="D215"/>
          <cell r="E215" t="str">
            <v>-</v>
          </cell>
          <cell r="F215" t="str">
            <v>400gms x 50pkt/ctn</v>
          </cell>
        </row>
        <row r="216">
          <cell r="B216" t="str">
            <v>R049</v>
          </cell>
          <cell r="C216" t="str">
            <v>Liquid Maltose 麦芽糖</v>
          </cell>
          <cell r="D216"/>
          <cell r="E216" t="str">
            <v>-</v>
          </cell>
          <cell r="F216" t="str">
            <v>20kgs/1 Tin</v>
          </cell>
        </row>
        <row r="217">
          <cell r="B217" t="str">
            <v>R050</v>
          </cell>
          <cell r="C217" t="str">
            <v>Sweet Potato Powder番薯粉</v>
          </cell>
          <cell r="D217"/>
          <cell r="E217" t="str">
            <v>F/Man</v>
          </cell>
          <cell r="F217" t="str">
            <v>(500gm x 20Pkt)箱</v>
          </cell>
        </row>
        <row r="218">
          <cell r="B218" t="str">
            <v>R051</v>
          </cell>
          <cell r="C218" t="str">
            <v>Sweet Potato Powder番薯粉</v>
          </cell>
          <cell r="D218"/>
          <cell r="E218" t="str">
            <v>KHS</v>
          </cell>
          <cell r="F218" t="str">
            <v>(500gm x 20Pkt)箱</v>
          </cell>
        </row>
        <row r="219">
          <cell r="B219" t="str">
            <v>R052</v>
          </cell>
          <cell r="C219" t="str">
            <v>Potato Starch 风车粉</v>
          </cell>
          <cell r="D219"/>
          <cell r="E219" t="str">
            <v>Windmill</v>
          </cell>
          <cell r="F219" t="str">
            <v>(350gm x 24Pkt)/Bag</v>
          </cell>
        </row>
        <row r="220">
          <cell r="B220" t="str">
            <v>R053</v>
          </cell>
          <cell r="C220" t="str">
            <v>RICE FLOUR 粘米粉</v>
          </cell>
          <cell r="D220"/>
          <cell r="E220" t="str">
            <v>ERWAN</v>
          </cell>
          <cell r="F220" t="str">
            <v>(600gm x 20Pkt)箱</v>
          </cell>
        </row>
        <row r="221">
          <cell r="B221" t="str">
            <v>R054</v>
          </cell>
          <cell r="C221" t="str">
            <v>SODA 苏打粉</v>
          </cell>
          <cell r="D221"/>
          <cell r="E221" t="str">
            <v>-</v>
          </cell>
          <cell r="F221" t="str">
            <v>100gms x 12BTLx 4</v>
          </cell>
        </row>
        <row r="222">
          <cell r="B222" t="str">
            <v>R055</v>
          </cell>
          <cell r="C222" t="str">
            <v>Food Coloring 颜色</v>
          </cell>
          <cell r="D222"/>
          <cell r="E222" t="str">
            <v>Black/黑</v>
          </cell>
          <cell r="F222" t="str">
            <v>5 lt</v>
          </cell>
        </row>
        <row r="223">
          <cell r="B223" t="str">
            <v>R056</v>
          </cell>
          <cell r="C223" t="str">
            <v>Flavour Essence香精</v>
          </cell>
          <cell r="D223"/>
          <cell r="E223" t="str">
            <v>Almond No 1</v>
          </cell>
          <cell r="F223" t="str">
            <v>450 ML/BTL</v>
          </cell>
        </row>
        <row r="224">
          <cell r="B224" t="str">
            <v>R057</v>
          </cell>
          <cell r="C224" t="str">
            <v>Flavour Essence香精</v>
          </cell>
          <cell r="D224"/>
          <cell r="E224" t="str">
            <v>Rose 721</v>
          </cell>
          <cell r="F224" t="str">
            <v>450 ML/BTL</v>
          </cell>
        </row>
        <row r="225">
          <cell r="B225" t="str">
            <v>R058</v>
          </cell>
          <cell r="C225" t="str">
            <v>Flavour Essence香精</v>
          </cell>
          <cell r="D225"/>
          <cell r="E225" t="str">
            <v>Honeydew</v>
          </cell>
          <cell r="F225" t="str">
            <v>450 ML/BTL</v>
          </cell>
        </row>
        <row r="226">
          <cell r="B226" t="str">
            <v>R059</v>
          </cell>
          <cell r="C226" t="str">
            <v>Flavour Essence香精</v>
          </cell>
          <cell r="D226"/>
          <cell r="E226" t="str">
            <v>Mango</v>
          </cell>
          <cell r="F226" t="str">
            <v>450 ML/BTL</v>
          </cell>
        </row>
        <row r="227">
          <cell r="B227" t="str">
            <v>R060</v>
          </cell>
          <cell r="C227" t="str">
            <v>Flavour Essence香精</v>
          </cell>
          <cell r="D227"/>
          <cell r="E227" t="str">
            <v>Pandan (FKJ)</v>
          </cell>
          <cell r="F227" t="str">
            <v>450 ML/BTL</v>
          </cell>
        </row>
        <row r="228">
          <cell r="B228" t="str">
            <v>R061</v>
          </cell>
          <cell r="C228" t="str">
            <v>Flavour Essence香精</v>
          </cell>
          <cell r="D228"/>
          <cell r="E228" t="str">
            <v>2552 Strawberry</v>
          </cell>
          <cell r="F228" t="str">
            <v>450 ML/BTL</v>
          </cell>
        </row>
        <row r="229">
          <cell r="B229" t="str">
            <v>R062</v>
          </cell>
          <cell r="C229" t="str">
            <v>Flavour Essence香精</v>
          </cell>
          <cell r="D229"/>
          <cell r="E229" t="str">
            <v>Peach</v>
          </cell>
          <cell r="F229" t="str">
            <v>1 Lt/BTL</v>
          </cell>
        </row>
        <row r="230">
          <cell r="B230" t="str">
            <v>R063</v>
          </cell>
          <cell r="C230" t="str">
            <v>Flavour Essence香精</v>
          </cell>
          <cell r="D230"/>
          <cell r="E230" t="str">
            <v>Strawberry</v>
          </cell>
          <cell r="F230" t="str">
            <v>1 Lt/BTL</v>
          </cell>
        </row>
        <row r="231">
          <cell r="B231" t="str">
            <v>R064</v>
          </cell>
          <cell r="C231" t="str">
            <v>Flavour Essence香精</v>
          </cell>
          <cell r="D231"/>
          <cell r="E231" t="str">
            <v>Orange</v>
          </cell>
          <cell r="F231" t="str">
            <v>1 Lt/BTL</v>
          </cell>
        </row>
        <row r="232">
          <cell r="B232" t="str">
            <v>R065</v>
          </cell>
          <cell r="C232" t="str">
            <v>Flavour Essence香精</v>
          </cell>
          <cell r="D232"/>
          <cell r="E232" t="str">
            <v>Pineapple</v>
          </cell>
          <cell r="F232" t="str">
            <v>1 Lt/BTL</v>
          </cell>
        </row>
        <row r="233">
          <cell r="B233" t="str">
            <v>R066</v>
          </cell>
          <cell r="C233" t="str">
            <v>Flavour Essence香精</v>
          </cell>
          <cell r="D233"/>
          <cell r="E233" t="str">
            <v>Banana 23</v>
          </cell>
          <cell r="F233" t="str">
            <v>1 Lt/BTL</v>
          </cell>
        </row>
        <row r="234">
          <cell r="B234" t="str">
            <v>R067</v>
          </cell>
          <cell r="C234" t="str">
            <v>Netual Cloudifier 白色精</v>
          </cell>
          <cell r="D234"/>
          <cell r="E234" t="str">
            <v>Cloudy</v>
          </cell>
          <cell r="F234" t="str">
            <v>500 ml x12/ Ctn</v>
          </cell>
        </row>
        <row r="235">
          <cell r="B235" t="str">
            <v>R068</v>
          </cell>
          <cell r="C235" t="str">
            <v>3 Q Jelly</v>
          </cell>
          <cell r="D235"/>
          <cell r="E235" t="str">
            <v>-</v>
          </cell>
          <cell r="F235" t="str">
            <v>4 kgs x 4 桶</v>
          </cell>
        </row>
        <row r="236">
          <cell r="B236" t="str">
            <v>R069</v>
          </cell>
          <cell r="C236" t="str">
            <v>Full Cream Milk牛奶</v>
          </cell>
          <cell r="D236"/>
          <cell r="E236" t="str">
            <v>Marigold</v>
          </cell>
          <cell r="F236" t="str">
            <v>1Lt x 12/Ctn</v>
          </cell>
        </row>
        <row r="237">
          <cell r="B237" t="str">
            <v>R070</v>
          </cell>
          <cell r="C237" t="str">
            <v>Pure Milk 牛奶</v>
          </cell>
          <cell r="D237"/>
          <cell r="E237" t="str">
            <v>Cowhead</v>
          </cell>
          <cell r="F237" t="str">
            <v>箱</v>
          </cell>
        </row>
        <row r="238">
          <cell r="B238" t="str">
            <v>R071</v>
          </cell>
          <cell r="C238" t="str">
            <v>GingKo Nut (Peel off)白果仁</v>
          </cell>
          <cell r="D238"/>
          <cell r="E238"/>
          <cell r="F238" t="str">
            <v>500g x 24 pkt/箱</v>
          </cell>
        </row>
        <row r="239">
          <cell r="B239" t="str">
            <v>R072</v>
          </cell>
          <cell r="C239" t="str">
            <v>GingKo Nut白果粒</v>
          </cell>
          <cell r="D239"/>
          <cell r="E239" t="str">
            <v>GRD1</v>
          </cell>
          <cell r="F239" t="str">
            <v>30 kgs/bag</v>
          </cell>
        </row>
        <row r="240">
          <cell r="B240" t="str">
            <v>R073</v>
          </cell>
          <cell r="C240" t="str">
            <v>Peanut 花生</v>
          </cell>
          <cell r="D240"/>
          <cell r="E240"/>
          <cell r="F240" t="str">
            <v>12.5KGx 2PKT</v>
          </cell>
        </row>
        <row r="241">
          <cell r="B241" t="str">
            <v>R074</v>
          </cell>
          <cell r="C241" t="str">
            <v>Dried Longan 龙眼干</v>
          </cell>
          <cell r="D241"/>
          <cell r="E241" t="str">
            <v>T</v>
          </cell>
          <cell r="F241" t="str">
            <v>15 kgs/箱</v>
          </cell>
        </row>
        <row r="242">
          <cell r="B242" t="str">
            <v>R075</v>
          </cell>
          <cell r="C242" t="str">
            <v>Dried Persimmon 柿子</v>
          </cell>
          <cell r="E242" t="str">
            <v>Korea</v>
          </cell>
          <cell r="F242" t="str">
            <v>5 kgs/箱</v>
          </cell>
        </row>
        <row r="243">
          <cell r="B243" t="str">
            <v>R076</v>
          </cell>
          <cell r="C243" t="str">
            <v>Herbal Jelly Powder</v>
          </cell>
          <cell r="E243" t="str">
            <v>-</v>
          </cell>
          <cell r="F243" t="str">
            <v>500 GM/BAG</v>
          </cell>
        </row>
        <row r="244">
          <cell r="B244" t="str">
            <v>R077</v>
          </cell>
          <cell r="C244" t="str">
            <v>Fresh Durian</v>
          </cell>
          <cell r="E244" t="str">
            <v>-</v>
          </cell>
          <cell r="F244" t="str">
            <v>2 kg/pkt</v>
          </cell>
        </row>
        <row r="245">
          <cell r="B245" t="str">
            <v>R078</v>
          </cell>
          <cell r="C245" t="str">
            <v>PACKED TOMATO SAUCE</v>
          </cell>
        </row>
        <row r="246">
          <cell r="B246" t="str">
            <v>R079</v>
          </cell>
          <cell r="C246" t="str">
            <v>Pearl Barley 薏米</v>
          </cell>
          <cell r="E246" t="str">
            <v>-</v>
          </cell>
          <cell r="F246" t="str">
            <v>25 KGS</v>
          </cell>
        </row>
        <row r="247">
          <cell r="B247" t="str">
            <v>R080</v>
          </cell>
          <cell r="C247" t="str">
            <v>GREEN APPLE JUICE</v>
          </cell>
          <cell r="E247" t="str">
            <v>-</v>
          </cell>
          <cell r="F247" t="str">
            <v>5 KGS</v>
          </cell>
        </row>
        <row r="248">
          <cell r="B248" t="str">
            <v>R081</v>
          </cell>
          <cell r="C248" t="str">
            <v>HONEY PEACH JUICE</v>
          </cell>
          <cell r="E248" t="str">
            <v>-</v>
          </cell>
          <cell r="F248" t="str">
            <v>5 KGS</v>
          </cell>
        </row>
        <row r="249">
          <cell r="B249" t="str">
            <v>R082</v>
          </cell>
          <cell r="C249" t="str">
            <v>MANGO JUICE</v>
          </cell>
          <cell r="E249" t="str">
            <v>-</v>
          </cell>
          <cell r="F249" t="str">
            <v>5 KGS</v>
          </cell>
        </row>
        <row r="250">
          <cell r="B250" t="str">
            <v>R083</v>
          </cell>
          <cell r="C250" t="str">
            <v>STRAWBERRY JUICE</v>
          </cell>
          <cell r="E250" t="str">
            <v>-</v>
          </cell>
          <cell r="F250" t="str">
            <v>5 KGS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2.xml"/><Relationship Id="rId2" Type="http://schemas.openxmlformats.org/officeDocument/2006/relationships/printerSettings" Target="../printerSettings/printerSettings114.bin"/><Relationship Id="rId1" Type="http://schemas.openxmlformats.org/officeDocument/2006/relationships/hyperlink" Target="mailto:ykgaccount@yukee.com.sg" TargetMode="External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fj_procurement@breadtalk.com" TargetMode="Externa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3.xml"/><Relationship Id="rId2" Type="http://schemas.openxmlformats.org/officeDocument/2006/relationships/printerSettings" Target="../printerSettings/printerSettings125.bin"/><Relationship Id="rId1" Type="http://schemas.openxmlformats.org/officeDocument/2006/relationships/hyperlink" Target="mailto:fj_procurement@breadtalk.com" TargetMode="External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fj_procurement@breadtalk.com" TargetMode="Externa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fj_procurement@breadtalk.com" TargetMode="External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8.xml"/><Relationship Id="rId2" Type="http://schemas.openxmlformats.org/officeDocument/2006/relationships/printerSettings" Target="../printerSettings/printerSettings160.bin"/><Relationship Id="rId1" Type="http://schemas.openxmlformats.org/officeDocument/2006/relationships/hyperlink" Target="mailto:fj_procurement@breadtalk.com" TargetMode="External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2.xml"/><Relationship Id="rId2" Type="http://schemas.openxmlformats.org/officeDocument/2006/relationships/printerSettings" Target="../printerSettings/printerSettings214.bin"/><Relationship Id="rId1" Type="http://schemas.openxmlformats.org/officeDocument/2006/relationships/hyperlink" Target="mailto:fj_procurement@breadtalk.com" TargetMode="External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fj_procurement@breadtalk.com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fj_procurement@breadtalk.com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9.xml"/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mailto:ykgaccount@yukee.com.sg" TargetMode="Externa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0.xml"/><Relationship Id="rId2" Type="http://schemas.openxmlformats.org/officeDocument/2006/relationships/printerSettings" Target="../printerSettings/printerSettings72.bin"/><Relationship Id="rId1" Type="http://schemas.openxmlformats.org/officeDocument/2006/relationships/hyperlink" Target="mailto:fj_procurement@breadtalk.com" TargetMode="Externa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1.xml"/><Relationship Id="rId2" Type="http://schemas.openxmlformats.org/officeDocument/2006/relationships/printerSettings" Target="../printerSettings/printerSettings73.bin"/><Relationship Id="rId1" Type="http://schemas.openxmlformats.org/officeDocument/2006/relationships/hyperlink" Target="mailto:fj_procurement@breadtalk.com" TargetMode="Externa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9.xml"/><Relationship Id="rId2" Type="http://schemas.openxmlformats.org/officeDocument/2006/relationships/printerSettings" Target="../printerSettings/printerSettings81.bin"/><Relationship Id="rId1" Type="http://schemas.openxmlformats.org/officeDocument/2006/relationships/hyperlink" Target="mailto:fj_procurement@breadtalk.com" TargetMode="Externa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0.xml"/><Relationship Id="rId2" Type="http://schemas.openxmlformats.org/officeDocument/2006/relationships/printerSettings" Target="../printerSettings/printerSettings82.bin"/><Relationship Id="rId1" Type="http://schemas.openxmlformats.org/officeDocument/2006/relationships/hyperlink" Target="mailto:fj_procurement@breadtalk.com" TargetMode="Externa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1.xml"/><Relationship Id="rId2" Type="http://schemas.openxmlformats.org/officeDocument/2006/relationships/printerSettings" Target="../printerSettings/printerSettings83.bin"/><Relationship Id="rId1" Type="http://schemas.openxmlformats.org/officeDocument/2006/relationships/hyperlink" Target="mailto:fj_procurement@breadtalk.com" TargetMode="Externa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1.xml"/><Relationship Id="rId2" Type="http://schemas.openxmlformats.org/officeDocument/2006/relationships/printerSettings" Target="../printerSettings/printerSettings93.bin"/><Relationship Id="rId1" Type="http://schemas.openxmlformats.org/officeDocument/2006/relationships/hyperlink" Target="mailto:ykgaccount@yukee.com.sg" TargetMode="Externa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4E0B5-B148-4711-9D8A-43230952AEE0}">
  <sheetPr codeName="Sheet15">
    <tabColor rgb="FFFFC000"/>
    <pageSetUpPr fitToPage="1"/>
  </sheetPr>
  <dimension ref="A1:DH537"/>
  <sheetViews>
    <sheetView zoomScaleNormal="100" workbookViewId="0">
      <pane xSplit="2" ySplit="2" topLeftCell="AJ434" activePane="bottomRight" state="frozen"/>
      <selection activeCell="C20" sqref="C20"/>
      <selection pane="topRight" activeCell="C20" sqref="C20"/>
      <selection pane="bottomLeft" activeCell="C20" sqref="C20"/>
      <selection pane="bottomRight" activeCell="AK436" sqref="AK436"/>
    </sheetView>
  </sheetViews>
  <sheetFormatPr defaultColWidth="8.7265625" defaultRowHeight="14.5" x14ac:dyDescent="0.35"/>
  <cols>
    <col min="1" max="1" width="15.26953125" customWidth="1"/>
    <col min="2" max="2" width="11.1796875" style="275" customWidth="1"/>
    <col min="3" max="3" width="47.54296875" style="275" customWidth="1"/>
    <col min="4" max="4" width="18.54296875" style="276" customWidth="1"/>
    <col min="5" max="5" width="15.7265625" style="275" customWidth="1"/>
    <col min="6" max="6" width="23.1796875" style="275" customWidth="1"/>
    <col min="7" max="7" width="8.7265625" style="275" customWidth="1"/>
    <col min="8" max="8" width="9.54296875" style="277" customWidth="1"/>
    <col min="9" max="9" width="11" style="4" customWidth="1"/>
    <col min="10" max="10" width="8.7265625" style="265" customWidth="1"/>
    <col min="11" max="36" width="8.7265625" style="4" customWidth="1"/>
    <col min="37" max="37" width="8.7265625" style="237" customWidth="1"/>
    <col min="38" max="38" width="8.7265625" style="162" customWidth="1"/>
    <col min="39" max="40" width="8.7265625" customWidth="1"/>
    <col min="41" max="42" width="8.7265625" style="4" customWidth="1"/>
    <col min="43" max="43" width="8.7265625" style="255" customWidth="1"/>
    <col min="44" max="55" width="8.7265625" style="4" customWidth="1"/>
    <col min="56" max="58" width="8.7265625" customWidth="1"/>
    <col min="59" max="59" width="10.7265625" style="162" customWidth="1"/>
    <col min="60" max="60" width="13.1796875" customWidth="1"/>
    <col min="61" max="61" width="9.81640625" customWidth="1"/>
    <col min="62" max="75" width="8.7265625" customWidth="1"/>
    <col min="76" max="76" width="8.7265625" style="4" customWidth="1"/>
    <col min="77" max="84" width="8.7265625" style="154" customWidth="1"/>
    <col min="85" max="85" width="8.7265625" customWidth="1"/>
    <col min="86" max="86" width="10" customWidth="1"/>
    <col min="87" max="96" width="8.7265625" customWidth="1"/>
    <col min="97" max="97" width="10.1796875" style="162" customWidth="1"/>
    <col min="98" max="104" width="8.7265625" customWidth="1"/>
    <col min="105" max="105" width="10.1796875" style="154" bestFit="1" customWidth="1"/>
  </cols>
  <sheetData>
    <row r="1" spans="1:112" ht="15" thickBot="1" x14ac:dyDescent="0.4">
      <c r="A1" s="347" t="s">
        <v>1879</v>
      </c>
      <c r="B1" s="350">
        <v>0.09</v>
      </c>
      <c r="E1" s="234"/>
      <c r="N1" s="4">
        <f>M1+1</f>
        <v>1</v>
      </c>
    </row>
    <row r="2" spans="1:112" ht="73" thickBot="1" x14ac:dyDescent="0.4">
      <c r="A2" s="239" t="s">
        <v>1481</v>
      </c>
      <c r="B2" s="266" t="s">
        <v>0</v>
      </c>
      <c r="C2" s="267" t="s">
        <v>1</v>
      </c>
      <c r="D2" s="269" t="s">
        <v>512</v>
      </c>
      <c r="E2" s="271" t="s">
        <v>53</v>
      </c>
      <c r="F2" s="271" t="s">
        <v>29</v>
      </c>
      <c r="G2" s="271" t="s">
        <v>30</v>
      </c>
      <c r="H2" s="250" t="s">
        <v>1865</v>
      </c>
      <c r="I2" s="251" t="s">
        <v>1482</v>
      </c>
      <c r="J2" s="268" t="s">
        <v>96</v>
      </c>
      <c r="K2" s="253" t="s">
        <v>1384</v>
      </c>
      <c r="L2" s="253" t="s">
        <v>128</v>
      </c>
      <c r="M2" s="253" t="s">
        <v>131</v>
      </c>
      <c r="N2" s="253" t="s">
        <v>395</v>
      </c>
      <c r="O2" s="253" t="s">
        <v>311</v>
      </c>
      <c r="P2" s="251" t="s">
        <v>1070</v>
      </c>
      <c r="Q2" s="252" t="s">
        <v>1709</v>
      </c>
      <c r="R2" s="253" t="s">
        <v>313</v>
      </c>
      <c r="S2" s="252" t="s">
        <v>1266</v>
      </c>
      <c r="T2" s="253" t="s">
        <v>1718</v>
      </c>
      <c r="U2" s="253" t="s">
        <v>2162</v>
      </c>
      <c r="V2" s="253" t="s">
        <v>2172</v>
      </c>
      <c r="W2" s="253" t="s">
        <v>144</v>
      </c>
      <c r="X2" s="253" t="s">
        <v>1296</v>
      </c>
      <c r="Y2" s="253" t="s">
        <v>1882</v>
      </c>
      <c r="Z2" s="253" t="s">
        <v>186</v>
      </c>
      <c r="AA2" s="406" t="s">
        <v>2204</v>
      </c>
      <c r="AB2" s="253" t="s">
        <v>190</v>
      </c>
      <c r="AC2" s="253" t="s">
        <v>191</v>
      </c>
      <c r="AD2" s="253" t="s">
        <v>1306</v>
      </c>
      <c r="AE2" s="253" t="s">
        <v>1323</v>
      </c>
      <c r="AF2" s="253" t="s">
        <v>1487</v>
      </c>
      <c r="AG2" s="253" t="s">
        <v>435</v>
      </c>
      <c r="AH2" s="254" t="s">
        <v>444</v>
      </c>
      <c r="AI2" s="253" t="s">
        <v>1878</v>
      </c>
      <c r="AJ2" s="253" t="s">
        <v>1333</v>
      </c>
      <c r="AK2" s="253" t="s">
        <v>1488</v>
      </c>
      <c r="AL2" s="163" t="s">
        <v>1859</v>
      </c>
      <c r="AM2" s="253" t="s">
        <v>455</v>
      </c>
      <c r="AN2" s="253" t="s">
        <v>486</v>
      </c>
      <c r="AO2" s="253" t="s">
        <v>492</v>
      </c>
      <c r="AP2" s="253" t="s">
        <v>498</v>
      </c>
      <c r="AQ2" s="256" t="s">
        <v>1692</v>
      </c>
      <c r="AR2" s="240" t="s">
        <v>495</v>
      </c>
      <c r="AS2" s="215" t="s">
        <v>496</v>
      </c>
      <c r="AT2" s="215" t="s">
        <v>499</v>
      </c>
      <c r="AU2" s="215" t="s">
        <v>500</v>
      </c>
      <c r="AV2" s="215" t="s">
        <v>494</v>
      </c>
      <c r="AW2" s="215" t="s">
        <v>504</v>
      </c>
      <c r="AX2" s="215" t="s">
        <v>501</v>
      </c>
      <c r="AY2" s="215" t="s">
        <v>1651</v>
      </c>
      <c r="AZ2" s="215" t="s">
        <v>1671</v>
      </c>
      <c r="BA2" s="215" t="s">
        <v>1652</v>
      </c>
      <c r="BB2" s="215" t="s">
        <v>502</v>
      </c>
      <c r="BC2" s="215" t="s">
        <v>503</v>
      </c>
      <c r="BD2" s="215" t="s">
        <v>508</v>
      </c>
      <c r="BE2" s="215" t="s">
        <v>1883</v>
      </c>
      <c r="BF2" s="215" t="s">
        <v>521</v>
      </c>
      <c r="BG2" s="164" t="s">
        <v>1490</v>
      </c>
      <c r="BH2" s="215" t="s">
        <v>1905</v>
      </c>
      <c r="BI2" s="215" t="s">
        <v>542</v>
      </c>
      <c r="BJ2" s="407" t="s">
        <v>2191</v>
      </c>
      <c r="BK2" s="215" t="s">
        <v>552</v>
      </c>
      <c r="BL2" s="215" t="s">
        <v>558</v>
      </c>
      <c r="BM2" s="215" t="s">
        <v>578</v>
      </c>
      <c r="BN2" s="215" t="s">
        <v>586</v>
      </c>
      <c r="BO2" s="215" t="s">
        <v>1762</v>
      </c>
      <c r="BP2" s="215" t="s">
        <v>600</v>
      </c>
      <c r="BQ2" s="215" t="s">
        <v>652</v>
      </c>
      <c r="BR2" s="407" t="s">
        <v>1650</v>
      </c>
      <c r="BS2" s="408" t="s">
        <v>2239</v>
      </c>
      <c r="BT2" s="408" t="s">
        <v>656</v>
      </c>
      <c r="BU2" s="155" t="s">
        <v>665</v>
      </c>
      <c r="BV2" s="408" t="s">
        <v>674</v>
      </c>
      <c r="BW2" s="408" t="s">
        <v>694</v>
      </c>
      <c r="BX2" s="215" t="s">
        <v>1047</v>
      </c>
      <c r="BY2" s="164" t="s">
        <v>1052</v>
      </c>
      <c r="BZ2" s="164" t="s">
        <v>1304</v>
      </c>
      <c r="CA2" s="164" t="s">
        <v>1087</v>
      </c>
      <c r="CB2" s="411" t="s">
        <v>1107</v>
      </c>
      <c r="CC2" s="164" t="s">
        <v>1116</v>
      </c>
      <c r="CD2" s="216" t="s">
        <v>1133</v>
      </c>
      <c r="CE2" s="164" t="s">
        <v>1159</v>
      </c>
      <c r="CF2" s="164" t="s">
        <v>1182</v>
      </c>
      <c r="CG2" s="241" t="s">
        <v>1387</v>
      </c>
      <c r="CH2" s="409" t="s">
        <v>1495</v>
      </c>
      <c r="CI2" s="410" t="s">
        <v>1501</v>
      </c>
      <c r="CJ2" s="354" t="s">
        <v>1947</v>
      </c>
      <c r="CK2" s="354" t="s">
        <v>1946</v>
      </c>
      <c r="CL2" s="354" t="s">
        <v>1989</v>
      </c>
      <c r="CM2" s="215" t="s">
        <v>2019</v>
      </c>
      <c r="CN2" s="215" t="s">
        <v>2020</v>
      </c>
      <c r="CO2" s="215" t="s">
        <v>2021</v>
      </c>
      <c r="CP2" s="354" t="s">
        <v>2029</v>
      </c>
      <c r="CQ2" s="354" t="s">
        <v>2030</v>
      </c>
      <c r="CR2" s="215" t="s">
        <v>2132</v>
      </c>
      <c r="CS2" s="235" t="s">
        <v>1880</v>
      </c>
      <c r="DA2" s="178">
        <v>44639</v>
      </c>
    </row>
    <row r="3" spans="1:112" ht="20" customHeight="1" x14ac:dyDescent="0.35">
      <c r="A3" s="278"/>
      <c r="B3" s="272" t="s">
        <v>697</v>
      </c>
      <c r="C3" s="272" t="s">
        <v>209</v>
      </c>
      <c r="D3" s="272" t="s">
        <v>513</v>
      </c>
      <c r="E3" s="272" t="s">
        <v>54</v>
      </c>
      <c r="F3" s="272" t="s">
        <v>2157</v>
      </c>
      <c r="G3" s="272" t="s">
        <v>39</v>
      </c>
      <c r="H3" s="279">
        <v>24.39</v>
      </c>
      <c r="I3" s="280"/>
      <c r="J3" s="280"/>
      <c r="K3" s="280"/>
      <c r="L3" s="280">
        <v>35</v>
      </c>
      <c r="M3" s="402"/>
      <c r="N3" s="281">
        <v>34</v>
      </c>
      <c r="O3" s="280">
        <v>34</v>
      </c>
      <c r="P3" s="281">
        <v>34</v>
      </c>
      <c r="Q3" s="280">
        <v>34</v>
      </c>
      <c r="R3" s="280">
        <v>34</v>
      </c>
      <c r="S3" s="280">
        <v>36</v>
      </c>
      <c r="T3" s="280"/>
      <c r="U3" s="280"/>
      <c r="V3" s="282"/>
      <c r="W3" s="280"/>
      <c r="X3" s="280"/>
      <c r="Y3" s="280"/>
      <c r="Z3" s="280">
        <v>34</v>
      </c>
      <c r="AA3" s="280"/>
      <c r="AB3" s="280"/>
      <c r="AC3" s="280">
        <v>34</v>
      </c>
      <c r="AD3" s="280"/>
      <c r="AE3" s="280"/>
      <c r="AF3" s="280"/>
      <c r="AG3" s="280"/>
      <c r="AH3" s="280"/>
      <c r="AI3" s="280"/>
      <c r="AJ3" s="280"/>
      <c r="AK3" s="283"/>
      <c r="AL3" s="284"/>
      <c r="AM3" s="283"/>
      <c r="AN3" s="283"/>
      <c r="AO3" s="283"/>
      <c r="AP3" s="280"/>
      <c r="AQ3" s="285"/>
      <c r="AR3" s="286"/>
      <c r="AS3" s="286"/>
      <c r="AT3" s="286"/>
      <c r="AU3" s="286"/>
      <c r="AV3" s="286"/>
      <c r="AW3" s="286"/>
      <c r="AX3" s="286"/>
      <c r="AY3" s="286"/>
      <c r="AZ3" s="286"/>
      <c r="BA3" s="286"/>
      <c r="BB3" s="286"/>
      <c r="BC3" s="286"/>
      <c r="BD3" s="287"/>
      <c r="BE3" s="287"/>
      <c r="BF3" s="287"/>
      <c r="BG3" s="288">
        <v>36</v>
      </c>
      <c r="BH3" s="287"/>
      <c r="BI3" s="287"/>
      <c r="BJ3" s="287"/>
      <c r="BK3" s="287"/>
      <c r="BL3" s="287"/>
      <c r="BM3" s="287"/>
      <c r="BN3" s="287"/>
      <c r="BO3" s="287"/>
      <c r="BP3" s="287"/>
      <c r="BQ3" s="287"/>
      <c r="BR3" s="287"/>
      <c r="BS3" s="287"/>
      <c r="BT3" s="287"/>
      <c r="BU3" s="287"/>
      <c r="BV3" s="287"/>
      <c r="BW3" s="287"/>
      <c r="BX3" s="286"/>
      <c r="BY3" s="289"/>
      <c r="BZ3" s="289">
        <v>34</v>
      </c>
      <c r="CA3" s="289"/>
      <c r="CB3" s="289"/>
      <c r="CC3" s="289"/>
      <c r="CD3" s="289"/>
      <c r="CE3" s="289"/>
      <c r="CF3" s="289"/>
      <c r="CG3" s="287"/>
      <c r="CH3" s="283"/>
      <c r="CI3" s="287"/>
      <c r="CJ3" s="287"/>
      <c r="CK3" s="287"/>
      <c r="CL3" s="287"/>
      <c r="CM3" s="287"/>
      <c r="CN3" s="287"/>
      <c r="CO3" s="287"/>
      <c r="CP3" s="287"/>
      <c r="CQ3" s="287"/>
      <c r="CR3" s="287">
        <v>35</v>
      </c>
      <c r="CS3" s="348">
        <v>34</v>
      </c>
      <c r="CT3" s="6"/>
      <c r="CU3" s="6"/>
      <c r="CV3" s="6"/>
      <c r="CW3" s="6"/>
      <c r="CX3" s="6"/>
      <c r="CY3" s="6"/>
      <c r="CZ3" s="6"/>
      <c r="DA3" s="343">
        <f t="shared" ref="DA3:DA73" si="0">H3</f>
        <v>24.39</v>
      </c>
    </row>
    <row r="4" spans="1:112" ht="20" customHeight="1" x14ac:dyDescent="0.35">
      <c r="A4" s="290">
        <v>520718</v>
      </c>
      <c r="B4" s="270" t="s">
        <v>698</v>
      </c>
      <c r="C4" s="270" t="s">
        <v>209</v>
      </c>
      <c r="D4" s="297" t="s">
        <v>513</v>
      </c>
      <c r="E4" s="270" t="s">
        <v>54</v>
      </c>
      <c r="F4" s="270" t="s">
        <v>2158</v>
      </c>
      <c r="G4" s="270" t="s">
        <v>207</v>
      </c>
      <c r="H4" s="291">
        <v>25.63</v>
      </c>
      <c r="I4" s="300">
        <v>34</v>
      </c>
      <c r="J4" s="292">
        <v>31</v>
      </c>
      <c r="K4" s="286"/>
      <c r="L4" s="286"/>
      <c r="M4" s="286"/>
      <c r="N4" s="293"/>
      <c r="O4" s="286"/>
      <c r="P4" s="286"/>
      <c r="Q4" s="286"/>
      <c r="R4" s="286"/>
      <c r="S4" s="286"/>
      <c r="T4" s="286">
        <v>31</v>
      </c>
      <c r="U4" s="286">
        <v>31</v>
      </c>
      <c r="V4" s="294">
        <v>11</v>
      </c>
      <c r="W4" s="286"/>
      <c r="X4" s="286"/>
      <c r="Y4" s="286"/>
      <c r="Z4" s="286"/>
      <c r="AA4" s="286"/>
      <c r="AB4" s="286"/>
      <c r="AC4" s="286"/>
      <c r="AD4" s="286"/>
      <c r="AE4" s="286"/>
      <c r="AF4" s="286"/>
      <c r="AG4" s="286"/>
      <c r="AH4" s="286"/>
      <c r="AI4" s="286">
        <v>31</v>
      </c>
      <c r="AJ4" s="286"/>
      <c r="AK4" s="295"/>
      <c r="AL4" s="286">
        <v>31</v>
      </c>
      <c r="AM4" s="287"/>
      <c r="AN4" s="287"/>
      <c r="AO4" s="286">
        <v>31</v>
      </c>
      <c r="AP4" s="286">
        <v>31</v>
      </c>
      <c r="AQ4" s="296"/>
      <c r="AR4" s="286">
        <v>31</v>
      </c>
      <c r="AS4" s="286"/>
      <c r="AT4" s="286">
        <v>31</v>
      </c>
      <c r="AU4" s="286">
        <v>31</v>
      </c>
      <c r="AV4" s="286">
        <v>31</v>
      </c>
      <c r="AW4" s="286"/>
      <c r="AX4" s="286">
        <v>31</v>
      </c>
      <c r="AY4" s="286">
        <v>31</v>
      </c>
      <c r="AZ4" s="286">
        <v>31</v>
      </c>
      <c r="BA4" s="286"/>
      <c r="BB4" s="286"/>
      <c r="BC4" s="286">
        <v>31</v>
      </c>
      <c r="BD4" s="287"/>
      <c r="BE4" s="287"/>
      <c r="BF4" s="287"/>
      <c r="BG4" s="287"/>
      <c r="BH4" s="287"/>
      <c r="BI4" s="287"/>
      <c r="BJ4" s="287"/>
      <c r="BK4" s="287"/>
      <c r="BL4" s="287"/>
      <c r="BM4" s="287"/>
      <c r="BN4" s="287"/>
      <c r="BO4" s="287"/>
      <c r="BP4" s="287"/>
      <c r="BQ4" s="287"/>
      <c r="BR4" s="287"/>
      <c r="BS4" s="287"/>
      <c r="BT4" s="287"/>
      <c r="BU4" s="287">
        <v>36</v>
      </c>
      <c r="BV4" s="287"/>
      <c r="BW4" s="287"/>
      <c r="BX4" s="286">
        <v>31</v>
      </c>
      <c r="BY4" s="289"/>
      <c r="BZ4" s="289"/>
      <c r="CA4" s="289"/>
      <c r="CB4" s="289"/>
      <c r="CC4" s="289"/>
      <c r="CD4" s="289"/>
      <c r="CE4" s="289"/>
      <c r="CF4" s="289"/>
      <c r="CG4" s="287"/>
      <c r="CH4" s="287"/>
      <c r="CI4" s="287"/>
      <c r="CJ4" s="287"/>
      <c r="CK4" s="287"/>
      <c r="CL4" s="287"/>
      <c r="CM4" s="286">
        <v>31</v>
      </c>
      <c r="CN4" s="286">
        <v>31</v>
      </c>
      <c r="CO4" s="292">
        <v>31</v>
      </c>
      <c r="CP4" s="287"/>
      <c r="CQ4" s="287">
        <v>34</v>
      </c>
      <c r="CR4" s="287"/>
      <c r="CS4" s="288">
        <v>36</v>
      </c>
      <c r="CT4" s="6"/>
      <c r="CU4" s="6"/>
      <c r="CV4" s="6"/>
      <c r="CW4" s="6"/>
      <c r="CX4" s="6"/>
      <c r="CY4" s="6"/>
      <c r="CZ4" s="6"/>
      <c r="DA4" s="343">
        <f t="shared" si="0"/>
        <v>25.63</v>
      </c>
      <c r="DH4" s="238">
        <v>33</v>
      </c>
    </row>
    <row r="5" spans="1:112" ht="20" customHeight="1" x14ac:dyDescent="0.35">
      <c r="A5" s="290"/>
      <c r="B5" s="270" t="s">
        <v>699</v>
      </c>
      <c r="C5" s="270" t="s">
        <v>209</v>
      </c>
      <c r="D5" s="297" t="s">
        <v>513</v>
      </c>
      <c r="E5" s="270" t="s">
        <v>54</v>
      </c>
      <c r="F5" s="270" t="s">
        <v>2159</v>
      </c>
      <c r="G5" s="270" t="s">
        <v>31</v>
      </c>
      <c r="H5" s="291">
        <v>5.18</v>
      </c>
      <c r="I5" s="292"/>
      <c r="J5" s="286"/>
      <c r="K5" s="286"/>
      <c r="L5" s="286"/>
      <c r="M5" s="286"/>
      <c r="N5" s="293"/>
      <c r="O5" s="286"/>
      <c r="P5" s="286"/>
      <c r="Q5" s="286"/>
      <c r="R5" s="286"/>
      <c r="S5" s="286"/>
      <c r="T5" s="286"/>
      <c r="U5" s="286"/>
      <c r="V5" s="294"/>
      <c r="W5" s="286"/>
      <c r="X5" s="286"/>
      <c r="Y5" s="286"/>
      <c r="Z5" s="286"/>
      <c r="AA5" s="286"/>
      <c r="AB5" s="286"/>
      <c r="AC5" s="286"/>
      <c r="AD5" s="286"/>
      <c r="AE5" s="286"/>
      <c r="AF5" s="286"/>
      <c r="AG5" s="286"/>
      <c r="AH5" s="286"/>
      <c r="AI5" s="286"/>
      <c r="AJ5" s="286"/>
      <c r="AK5" s="287"/>
      <c r="AL5" s="288"/>
      <c r="AM5" s="287"/>
      <c r="AN5" s="287"/>
      <c r="AO5" s="286"/>
      <c r="AP5" s="286"/>
      <c r="AQ5" s="296"/>
      <c r="AR5" s="286"/>
      <c r="AS5" s="286"/>
      <c r="AT5" s="286"/>
      <c r="AU5" s="286"/>
      <c r="AV5" s="286"/>
      <c r="AW5" s="286"/>
      <c r="AX5" s="286"/>
      <c r="AY5" s="286"/>
      <c r="AZ5" s="286"/>
      <c r="BA5" s="286"/>
      <c r="BB5" s="286"/>
      <c r="BC5" s="286"/>
      <c r="BD5" s="287"/>
      <c r="BE5" s="287"/>
      <c r="BF5" s="287"/>
      <c r="BG5" s="287"/>
      <c r="BH5" s="287"/>
      <c r="BI5" s="287"/>
      <c r="BJ5" s="287"/>
      <c r="BK5" s="287"/>
      <c r="BL5" s="287"/>
      <c r="BM5" s="287"/>
      <c r="BN5" s="287"/>
      <c r="BO5" s="287"/>
      <c r="BP5" s="287"/>
      <c r="BQ5" s="287"/>
      <c r="BR5" s="287"/>
      <c r="BS5" s="287"/>
      <c r="BT5" s="287"/>
      <c r="BU5" s="287"/>
      <c r="BV5" s="287"/>
      <c r="BW5" s="287"/>
      <c r="BX5" s="286"/>
      <c r="BY5" s="289"/>
      <c r="BZ5" s="289"/>
      <c r="CA5" s="289"/>
      <c r="CB5" s="289"/>
      <c r="CC5" s="289"/>
      <c r="CD5" s="289"/>
      <c r="CE5" s="289"/>
      <c r="CF5" s="289">
        <v>8</v>
      </c>
      <c r="CG5" s="287"/>
      <c r="CH5" s="287"/>
      <c r="CI5" s="287"/>
      <c r="CJ5" s="287"/>
      <c r="CK5" s="287"/>
      <c r="CL5" s="287">
        <v>12</v>
      </c>
      <c r="CM5" s="287"/>
      <c r="CN5" s="287"/>
      <c r="CO5" s="287"/>
      <c r="CP5" s="287"/>
      <c r="CQ5" s="287"/>
      <c r="CR5" s="287"/>
      <c r="CS5" s="6"/>
      <c r="CT5" s="6"/>
      <c r="CU5" s="6"/>
      <c r="CV5" s="6"/>
      <c r="CW5" s="6"/>
      <c r="CX5" s="6"/>
      <c r="CY5" s="6"/>
      <c r="CZ5" s="6"/>
      <c r="DA5" s="343">
        <f t="shared" si="0"/>
        <v>5.18</v>
      </c>
      <c r="DH5" s="238">
        <v>35</v>
      </c>
    </row>
    <row r="6" spans="1:112" ht="20" customHeight="1" x14ac:dyDescent="0.35">
      <c r="A6" s="290"/>
      <c r="B6" s="270" t="s">
        <v>1233</v>
      </c>
      <c r="C6" s="270" t="s">
        <v>209</v>
      </c>
      <c r="D6" s="297" t="s">
        <v>513</v>
      </c>
      <c r="E6" s="270" t="s">
        <v>604</v>
      </c>
      <c r="F6" s="270" t="s">
        <v>1797</v>
      </c>
      <c r="G6" s="270" t="s">
        <v>38</v>
      </c>
      <c r="H6" s="298">
        <f>(17+25)/2</f>
        <v>21</v>
      </c>
      <c r="I6" s="292"/>
      <c r="J6" s="286"/>
      <c r="K6" s="286"/>
      <c r="L6" s="286"/>
      <c r="M6" s="286"/>
      <c r="N6" s="293"/>
      <c r="O6" s="286"/>
      <c r="P6" s="286"/>
      <c r="Q6" s="286"/>
      <c r="R6" s="286"/>
      <c r="S6" s="286"/>
      <c r="T6" s="286"/>
      <c r="U6" s="286"/>
      <c r="V6" s="294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6"/>
      <c r="AH6" s="286"/>
      <c r="AI6" s="286"/>
      <c r="AJ6" s="286"/>
      <c r="AK6" s="287"/>
      <c r="AL6" s="288"/>
      <c r="AM6" s="287"/>
      <c r="AN6" s="287"/>
      <c r="AO6" s="286"/>
      <c r="AP6" s="286"/>
      <c r="AQ6" s="296"/>
      <c r="AR6" s="286"/>
      <c r="AS6" s="286"/>
      <c r="AT6" s="286"/>
      <c r="AU6" s="286"/>
      <c r="AV6" s="286"/>
      <c r="AW6" s="286"/>
      <c r="AX6" s="286"/>
      <c r="AY6" s="286"/>
      <c r="AZ6" s="286"/>
      <c r="BA6" s="286"/>
      <c r="BB6" s="286"/>
      <c r="BC6" s="286"/>
      <c r="BD6" s="287"/>
      <c r="BE6" s="287"/>
      <c r="BF6" s="287"/>
      <c r="BG6" s="287"/>
      <c r="BH6" s="287"/>
      <c r="BI6" s="287"/>
      <c r="BJ6" s="287"/>
      <c r="BK6" s="287"/>
      <c r="BL6" s="287"/>
      <c r="BM6" s="287"/>
      <c r="BN6" s="287"/>
      <c r="BO6" s="287"/>
      <c r="BP6" s="287"/>
      <c r="BQ6" s="287"/>
      <c r="BR6" s="287"/>
      <c r="BS6" s="287"/>
      <c r="BT6" s="287"/>
      <c r="BU6" s="287"/>
      <c r="BV6" s="287"/>
      <c r="BW6" s="287"/>
      <c r="BX6" s="286"/>
      <c r="BY6" s="289"/>
      <c r="BZ6" s="289"/>
      <c r="CA6" s="289"/>
      <c r="CB6" s="289"/>
      <c r="CC6" s="289"/>
      <c r="CD6" s="289"/>
      <c r="CE6" s="289"/>
      <c r="CF6" s="289"/>
      <c r="CG6" s="287"/>
      <c r="CH6" s="287"/>
      <c r="CI6" s="287"/>
      <c r="CJ6" s="287"/>
      <c r="CK6" s="287"/>
      <c r="CL6" s="287"/>
      <c r="CM6" s="287"/>
      <c r="CN6" s="287"/>
      <c r="CO6" s="287"/>
      <c r="CP6" s="287"/>
      <c r="CQ6" s="287"/>
      <c r="CR6" s="287"/>
      <c r="CS6" s="6"/>
      <c r="CT6" s="6"/>
      <c r="CU6" s="6"/>
      <c r="CV6" s="6"/>
      <c r="CW6" s="6"/>
      <c r="CX6" s="6"/>
      <c r="CY6" s="6"/>
      <c r="CZ6" s="6"/>
      <c r="DA6" s="343">
        <f t="shared" si="0"/>
        <v>21</v>
      </c>
      <c r="DH6" s="238">
        <v>9</v>
      </c>
    </row>
    <row r="7" spans="1:112" ht="20" customHeight="1" x14ac:dyDescent="0.35">
      <c r="A7" s="290"/>
      <c r="B7" s="270" t="s">
        <v>700</v>
      </c>
      <c r="C7" s="270" t="s">
        <v>1563</v>
      </c>
      <c r="D7" s="297" t="s">
        <v>513</v>
      </c>
      <c r="E7" s="270" t="s">
        <v>54</v>
      </c>
      <c r="F7" s="270" t="s">
        <v>2158</v>
      </c>
      <c r="G7" s="270" t="s">
        <v>207</v>
      </c>
      <c r="H7" s="298">
        <v>25.4</v>
      </c>
      <c r="I7" s="292">
        <v>35</v>
      </c>
      <c r="J7" s="292">
        <v>37</v>
      </c>
      <c r="K7" s="286"/>
      <c r="L7" s="286"/>
      <c r="M7" s="286"/>
      <c r="N7" s="286"/>
      <c r="O7" s="286"/>
      <c r="P7" s="286"/>
      <c r="Q7" s="286"/>
      <c r="R7" s="286"/>
      <c r="S7" s="286">
        <v>40</v>
      </c>
      <c r="T7" s="286">
        <v>37</v>
      </c>
      <c r="U7" s="286"/>
      <c r="V7" s="294">
        <v>40</v>
      </c>
      <c r="W7" s="286"/>
      <c r="X7" s="286"/>
      <c r="Y7" s="286"/>
      <c r="Z7" s="286"/>
      <c r="AA7" s="286"/>
      <c r="AB7" s="286"/>
      <c r="AC7" s="286"/>
      <c r="AD7" s="286"/>
      <c r="AE7" s="286"/>
      <c r="AF7" s="286"/>
      <c r="AG7" s="286"/>
      <c r="AH7" s="286"/>
      <c r="AI7" s="286"/>
      <c r="AJ7" s="286"/>
      <c r="AK7" s="295"/>
      <c r="AL7" s="288"/>
      <c r="AM7" s="287"/>
      <c r="AN7" s="287"/>
      <c r="AO7" s="287"/>
      <c r="AP7" s="286">
        <v>37</v>
      </c>
      <c r="AQ7" s="296"/>
      <c r="AR7" s="286"/>
      <c r="AS7" s="286">
        <v>37</v>
      </c>
      <c r="AT7" s="286"/>
      <c r="AU7" s="286"/>
      <c r="AV7" s="286"/>
      <c r="AW7" s="286"/>
      <c r="AX7" s="286"/>
      <c r="AY7" s="286">
        <v>37</v>
      </c>
      <c r="AZ7" s="286">
        <v>37</v>
      </c>
      <c r="BA7" s="286"/>
      <c r="BB7" s="286"/>
      <c r="BC7" s="286">
        <v>37</v>
      </c>
      <c r="BD7" s="287"/>
      <c r="BE7" s="287"/>
      <c r="BF7" s="287"/>
      <c r="BG7" s="288">
        <v>38</v>
      </c>
      <c r="BH7" s="287"/>
      <c r="BI7" s="287"/>
      <c r="BJ7" s="287"/>
      <c r="BK7" s="287"/>
      <c r="BL7" s="287"/>
      <c r="BM7" s="287"/>
      <c r="BN7" s="287"/>
      <c r="BO7" s="287"/>
      <c r="BP7" s="287">
        <v>38</v>
      </c>
      <c r="BQ7" s="287"/>
      <c r="BR7" s="287"/>
      <c r="BS7" s="287"/>
      <c r="BT7" s="287"/>
      <c r="BU7" s="287"/>
      <c r="BV7" s="287"/>
      <c r="BW7" s="287"/>
      <c r="BX7" s="286"/>
      <c r="BY7" s="289"/>
      <c r="BZ7" s="289"/>
      <c r="CA7" s="289"/>
      <c r="CB7" s="289"/>
      <c r="CC7" s="289"/>
      <c r="CD7" s="289"/>
      <c r="CE7" s="289"/>
      <c r="CF7" s="289"/>
      <c r="CG7" s="287"/>
      <c r="CH7" s="287"/>
      <c r="CI7" s="287"/>
      <c r="CJ7" s="287"/>
      <c r="CK7" s="287"/>
      <c r="CL7" s="287"/>
      <c r="CM7" s="287"/>
      <c r="CN7" s="287"/>
      <c r="CO7" s="287"/>
      <c r="CP7" s="287"/>
      <c r="CQ7" s="287">
        <v>38</v>
      </c>
      <c r="CR7" s="287">
        <v>38</v>
      </c>
      <c r="CS7" s="288">
        <v>35</v>
      </c>
      <c r="CT7" s="6"/>
      <c r="CU7" s="6"/>
      <c r="CV7" s="6"/>
      <c r="CW7" s="6"/>
      <c r="CX7" s="6"/>
      <c r="CY7" s="6"/>
      <c r="CZ7" s="6"/>
      <c r="DA7" s="343">
        <f t="shared" si="0"/>
        <v>25.4</v>
      </c>
      <c r="DH7" s="238">
        <v>8</v>
      </c>
    </row>
    <row r="8" spans="1:112" ht="20" customHeight="1" x14ac:dyDescent="0.35">
      <c r="A8" s="290"/>
      <c r="B8" s="270" t="s">
        <v>701</v>
      </c>
      <c r="C8" s="270" t="s">
        <v>1563</v>
      </c>
      <c r="D8" s="270" t="s">
        <v>513</v>
      </c>
      <c r="E8" s="270" t="s">
        <v>54</v>
      </c>
      <c r="F8" s="270" t="s">
        <v>2159</v>
      </c>
      <c r="G8" s="270" t="s">
        <v>31</v>
      </c>
      <c r="H8" s="298">
        <v>5.13</v>
      </c>
      <c r="I8" s="286"/>
      <c r="J8" s="286"/>
      <c r="K8" s="286"/>
      <c r="L8" s="286"/>
      <c r="M8" s="286"/>
      <c r="N8" s="286"/>
      <c r="O8" s="286"/>
      <c r="P8" s="286"/>
      <c r="Q8" s="286"/>
      <c r="R8" s="286"/>
      <c r="S8" s="286">
        <v>10</v>
      </c>
      <c r="T8" s="286"/>
      <c r="U8" s="286"/>
      <c r="V8" s="294"/>
      <c r="W8" s="286"/>
      <c r="X8" s="286"/>
      <c r="Y8" s="286"/>
      <c r="Z8" s="286"/>
      <c r="AA8" s="286"/>
      <c r="AB8" s="286"/>
      <c r="AC8" s="286"/>
      <c r="AD8" s="286"/>
      <c r="AE8" s="286"/>
      <c r="AF8" s="286"/>
      <c r="AG8" s="286"/>
      <c r="AH8" s="286"/>
      <c r="AI8" s="286"/>
      <c r="AJ8" s="286"/>
      <c r="AK8" s="287"/>
      <c r="AL8" s="288"/>
      <c r="AM8" s="287"/>
      <c r="AN8" s="287"/>
      <c r="AO8" s="287"/>
      <c r="AP8" s="286"/>
      <c r="AQ8" s="296"/>
      <c r="AR8" s="286"/>
      <c r="AS8" s="286"/>
      <c r="AT8" s="286"/>
      <c r="AU8" s="286"/>
      <c r="AV8" s="286"/>
      <c r="AW8" s="286"/>
      <c r="AX8" s="286"/>
      <c r="AY8" s="286"/>
      <c r="AZ8" s="286"/>
      <c r="BA8" s="286"/>
      <c r="BB8" s="286"/>
      <c r="BC8" s="286"/>
      <c r="BD8" s="287"/>
      <c r="BE8" s="287"/>
      <c r="BF8" s="287"/>
      <c r="BG8" s="287"/>
      <c r="BH8" s="287"/>
      <c r="BI8" s="287"/>
      <c r="BJ8" s="287"/>
      <c r="BK8" s="299">
        <v>10</v>
      </c>
      <c r="BL8" s="287"/>
      <c r="BM8" s="287"/>
      <c r="BN8" s="287"/>
      <c r="BO8" s="287"/>
      <c r="BP8" s="287"/>
      <c r="BQ8" s="287"/>
      <c r="BR8" s="287"/>
      <c r="BS8" s="287"/>
      <c r="BT8" s="287">
        <v>10</v>
      </c>
      <c r="BU8" s="287"/>
      <c r="BV8" s="287"/>
      <c r="BW8" s="287"/>
      <c r="BX8" s="286"/>
      <c r="BY8" s="289">
        <v>10</v>
      </c>
      <c r="BZ8" s="289"/>
      <c r="CA8" s="289"/>
      <c r="CB8" s="289"/>
      <c r="CC8" s="289"/>
      <c r="CD8" s="289"/>
      <c r="CE8" s="289"/>
      <c r="CF8" s="289">
        <v>10</v>
      </c>
      <c r="CG8" s="287"/>
      <c r="CH8" s="287"/>
      <c r="CI8" s="287"/>
      <c r="CJ8" s="287"/>
      <c r="CK8" s="287"/>
      <c r="CL8" s="287"/>
      <c r="CM8" s="287"/>
      <c r="CN8" s="287"/>
      <c r="CO8" s="287"/>
      <c r="CP8" s="287"/>
      <c r="CQ8" s="287"/>
      <c r="CR8" s="287"/>
      <c r="CS8" s="6"/>
      <c r="CT8" s="6"/>
      <c r="CU8" s="6"/>
      <c r="CV8" s="6"/>
      <c r="CW8" s="6"/>
      <c r="CX8" s="6"/>
      <c r="CY8" s="6"/>
      <c r="CZ8" s="6"/>
      <c r="DA8" s="343">
        <f t="shared" si="0"/>
        <v>5.13</v>
      </c>
      <c r="DH8" s="238">
        <v>10</v>
      </c>
    </row>
    <row r="9" spans="1:112" ht="20" customHeight="1" x14ac:dyDescent="0.35">
      <c r="A9" s="290"/>
      <c r="B9" s="270" t="s">
        <v>1748</v>
      </c>
      <c r="C9" s="270" t="s">
        <v>1563</v>
      </c>
      <c r="D9" s="270" t="s">
        <v>513</v>
      </c>
      <c r="E9" s="270" t="s">
        <v>54</v>
      </c>
      <c r="F9" s="270" t="s">
        <v>2159</v>
      </c>
      <c r="G9" s="270" t="s">
        <v>31</v>
      </c>
      <c r="H9" s="298">
        <f>H7/5</f>
        <v>5.08</v>
      </c>
      <c r="I9" s="286"/>
      <c r="J9" s="286"/>
      <c r="K9" s="286"/>
      <c r="L9" s="286"/>
      <c r="M9" s="286"/>
      <c r="N9" s="286"/>
      <c r="O9" s="286"/>
      <c r="P9" s="286"/>
      <c r="Q9" s="286"/>
      <c r="R9" s="286"/>
      <c r="S9" s="286"/>
      <c r="T9" s="286"/>
      <c r="U9" s="286"/>
      <c r="V9" s="294"/>
      <c r="W9" s="286"/>
      <c r="X9" s="286"/>
      <c r="Y9" s="286"/>
      <c r="Z9" s="286"/>
      <c r="AA9" s="286"/>
      <c r="AB9" s="286"/>
      <c r="AC9" s="286"/>
      <c r="AD9" s="300">
        <v>8</v>
      </c>
      <c r="AE9" s="286"/>
      <c r="AF9" s="286"/>
      <c r="AG9" s="286"/>
      <c r="AH9" s="286"/>
      <c r="AI9" s="286"/>
      <c r="AJ9" s="286"/>
      <c r="AK9" s="287"/>
      <c r="AL9" s="288"/>
      <c r="AM9" s="287"/>
      <c r="AN9" s="287"/>
      <c r="AO9" s="287"/>
      <c r="AP9" s="286"/>
      <c r="AQ9" s="296"/>
      <c r="AR9" s="286"/>
      <c r="AS9" s="286"/>
      <c r="AT9" s="286"/>
      <c r="AU9" s="286"/>
      <c r="AV9" s="286"/>
      <c r="AW9" s="286"/>
      <c r="AX9" s="286"/>
      <c r="AY9" s="286"/>
      <c r="AZ9" s="286"/>
      <c r="BA9" s="286"/>
      <c r="BB9" s="286"/>
      <c r="BC9" s="286"/>
      <c r="BD9" s="287"/>
      <c r="BE9" s="287"/>
      <c r="BF9" s="287"/>
      <c r="BG9" s="287"/>
      <c r="BH9" s="287"/>
      <c r="BI9" s="287"/>
      <c r="BJ9" s="287"/>
      <c r="BK9" s="299"/>
      <c r="BL9" s="287"/>
      <c r="BM9" s="287"/>
      <c r="BN9" s="287"/>
      <c r="BO9" s="287"/>
      <c r="BP9" s="287"/>
      <c r="BQ9" s="287"/>
      <c r="BR9" s="287"/>
      <c r="BS9" s="287"/>
      <c r="BT9" s="287"/>
      <c r="BU9" s="287"/>
      <c r="BV9" s="287"/>
      <c r="BW9" s="287"/>
      <c r="BX9" s="286"/>
      <c r="BY9" s="289"/>
      <c r="BZ9" s="289"/>
      <c r="CA9" s="289"/>
      <c r="CB9" s="289"/>
      <c r="CC9" s="289"/>
      <c r="CD9" s="289"/>
      <c r="CE9" s="289"/>
      <c r="CF9" s="289"/>
      <c r="CG9" s="287"/>
      <c r="CH9" s="287"/>
      <c r="CI9" s="287"/>
      <c r="CJ9" s="287"/>
      <c r="CK9" s="287"/>
      <c r="CL9" s="287"/>
      <c r="CM9" s="287"/>
      <c r="CN9" s="287"/>
      <c r="CO9" s="287"/>
      <c r="CP9" s="287"/>
      <c r="CQ9" s="287"/>
      <c r="CR9" s="287"/>
      <c r="CS9" s="6"/>
      <c r="CT9" s="6"/>
      <c r="CU9" s="6"/>
      <c r="CV9" s="6"/>
      <c r="CW9" s="6"/>
      <c r="CX9" s="6"/>
      <c r="CY9" s="6"/>
      <c r="CZ9" s="6"/>
      <c r="DA9" s="343">
        <f t="shared" si="0"/>
        <v>5.08</v>
      </c>
      <c r="DH9" s="238"/>
    </row>
    <row r="10" spans="1:112" ht="20" customHeight="1" x14ac:dyDescent="0.35">
      <c r="A10" s="290"/>
      <c r="B10" s="270" t="s">
        <v>1229</v>
      </c>
      <c r="C10" s="270" t="s">
        <v>1563</v>
      </c>
      <c r="D10" s="270"/>
      <c r="E10" s="270" t="s">
        <v>604</v>
      </c>
      <c r="F10" s="270" t="s">
        <v>1797</v>
      </c>
      <c r="G10" s="270" t="s">
        <v>38</v>
      </c>
      <c r="H10" s="298">
        <v>21</v>
      </c>
      <c r="I10" s="286"/>
      <c r="J10" s="286"/>
      <c r="K10" s="286"/>
      <c r="L10" s="286"/>
      <c r="M10" s="286"/>
      <c r="N10" s="286"/>
      <c r="O10" s="286"/>
      <c r="P10" s="286"/>
      <c r="Q10" s="286"/>
      <c r="R10" s="286"/>
      <c r="S10" s="286"/>
      <c r="T10" s="286"/>
      <c r="U10" s="286"/>
      <c r="V10" s="294"/>
      <c r="W10" s="286"/>
      <c r="X10" s="286"/>
      <c r="Y10" s="286"/>
      <c r="Z10" s="286"/>
      <c r="AA10" s="286"/>
      <c r="AB10" s="286"/>
      <c r="AC10" s="286"/>
      <c r="AD10" s="286"/>
      <c r="AE10" s="286"/>
      <c r="AF10" s="286"/>
      <c r="AG10" s="286"/>
      <c r="AH10" s="286"/>
      <c r="AI10" s="286"/>
      <c r="AJ10" s="286"/>
      <c r="AK10" s="287"/>
      <c r="AL10" s="288"/>
      <c r="AM10" s="287"/>
      <c r="AN10" s="287"/>
      <c r="AO10" s="287"/>
      <c r="AP10" s="286"/>
      <c r="AQ10" s="29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7"/>
      <c r="BE10" s="287"/>
      <c r="BF10" s="287"/>
      <c r="BG10" s="287"/>
      <c r="BH10" s="287"/>
      <c r="BI10" s="287"/>
      <c r="BJ10" s="287"/>
      <c r="BK10" s="287"/>
      <c r="BL10" s="287"/>
      <c r="BM10" s="287"/>
      <c r="BN10" s="287"/>
      <c r="BO10" s="287"/>
      <c r="BP10" s="287"/>
      <c r="BQ10" s="287"/>
      <c r="BR10" s="287"/>
      <c r="BS10" s="287"/>
      <c r="BT10" s="287"/>
      <c r="BU10" s="287"/>
      <c r="BV10" s="287"/>
      <c r="BW10" s="287"/>
      <c r="BX10" s="286"/>
      <c r="BY10" s="289"/>
      <c r="BZ10" s="289"/>
      <c r="CA10" s="289"/>
      <c r="CB10" s="289"/>
      <c r="CC10" s="289"/>
      <c r="CD10" s="289"/>
      <c r="CE10" s="289"/>
      <c r="CF10" s="289"/>
      <c r="CG10" s="287"/>
      <c r="CH10" s="287"/>
      <c r="CI10" s="287"/>
      <c r="CJ10" s="287"/>
      <c r="CK10" s="287"/>
      <c r="CL10" s="287"/>
      <c r="CM10" s="287"/>
      <c r="CN10" s="287"/>
      <c r="CO10" s="287"/>
      <c r="CP10" s="287"/>
      <c r="CQ10" s="287"/>
      <c r="CR10" s="287"/>
      <c r="CS10" s="6"/>
      <c r="CT10" s="6"/>
      <c r="CU10" s="6"/>
      <c r="CV10" s="6"/>
      <c r="CW10" s="6"/>
      <c r="CX10" s="6"/>
      <c r="CY10" s="6"/>
      <c r="CZ10" s="6"/>
      <c r="DA10" s="343">
        <f t="shared" si="0"/>
        <v>21</v>
      </c>
      <c r="DH10" s="238">
        <v>10</v>
      </c>
    </row>
    <row r="11" spans="1:112" ht="20" customHeight="1" x14ac:dyDescent="0.35">
      <c r="A11" s="290" t="s">
        <v>87</v>
      </c>
      <c r="B11" s="270" t="s">
        <v>702</v>
      </c>
      <c r="C11" s="270" t="s">
        <v>1866</v>
      </c>
      <c r="D11" s="297" t="s">
        <v>513</v>
      </c>
      <c r="E11" s="270" t="s">
        <v>54</v>
      </c>
      <c r="F11" s="270" t="s">
        <v>1552</v>
      </c>
      <c r="G11" s="270" t="s">
        <v>31</v>
      </c>
      <c r="H11" s="298">
        <v>4.71</v>
      </c>
      <c r="I11" s="300">
        <v>9</v>
      </c>
      <c r="J11" s="292">
        <v>7</v>
      </c>
      <c r="K11" s="286"/>
      <c r="L11" s="286"/>
      <c r="M11" s="286"/>
      <c r="N11" s="292">
        <v>9</v>
      </c>
      <c r="O11" s="286">
        <v>10</v>
      </c>
      <c r="P11" s="292">
        <v>9</v>
      </c>
      <c r="Q11" s="286">
        <v>9</v>
      </c>
      <c r="R11" s="286"/>
      <c r="S11" s="286">
        <v>10</v>
      </c>
      <c r="T11" s="286">
        <v>7</v>
      </c>
      <c r="U11" s="286">
        <v>7</v>
      </c>
      <c r="V11" s="294">
        <v>10</v>
      </c>
      <c r="W11" s="286"/>
      <c r="X11" s="286"/>
      <c r="Y11" s="286"/>
      <c r="Z11" s="286"/>
      <c r="AA11" s="286"/>
      <c r="AB11" s="286"/>
      <c r="AC11" s="286">
        <v>9</v>
      </c>
      <c r="AD11" s="286"/>
      <c r="AE11" s="286"/>
      <c r="AF11" s="286"/>
      <c r="AG11" s="286"/>
      <c r="AH11" s="286"/>
      <c r="AI11" s="286">
        <v>7</v>
      </c>
      <c r="AJ11" s="286"/>
      <c r="AK11" s="295"/>
      <c r="AL11" s="288"/>
      <c r="AM11" s="287"/>
      <c r="AN11" s="287"/>
      <c r="AO11" s="287"/>
      <c r="AP11" s="286">
        <v>7</v>
      </c>
      <c r="AQ11" s="296"/>
      <c r="AR11" s="286">
        <v>7</v>
      </c>
      <c r="AS11" s="286">
        <v>7</v>
      </c>
      <c r="AT11" s="286">
        <v>7</v>
      </c>
      <c r="AU11" s="286">
        <v>7</v>
      </c>
      <c r="AV11" s="286">
        <v>7</v>
      </c>
      <c r="AW11" s="286">
        <v>7</v>
      </c>
      <c r="AX11" s="286">
        <v>7</v>
      </c>
      <c r="AY11" s="286">
        <v>7</v>
      </c>
      <c r="AZ11" s="286">
        <v>7</v>
      </c>
      <c r="BA11" s="286">
        <v>7</v>
      </c>
      <c r="BB11" s="286">
        <f>BA11</f>
        <v>7</v>
      </c>
      <c r="BC11" s="286">
        <v>7</v>
      </c>
      <c r="BD11" s="287"/>
      <c r="BE11" s="287"/>
      <c r="BF11" s="287"/>
      <c r="BG11" s="288">
        <v>9</v>
      </c>
      <c r="BH11" s="287"/>
      <c r="BI11" s="287"/>
      <c r="BJ11" s="287"/>
      <c r="BK11" s="287"/>
      <c r="BL11" s="287"/>
      <c r="BM11" s="287"/>
      <c r="BN11" s="287"/>
      <c r="BO11" s="287"/>
      <c r="BP11" s="287"/>
      <c r="BQ11" s="287"/>
      <c r="BR11" s="287"/>
      <c r="BS11" s="287"/>
      <c r="BT11" s="287">
        <v>9</v>
      </c>
      <c r="BU11" s="287"/>
      <c r="BV11" s="287"/>
      <c r="BW11" s="287"/>
      <c r="BX11" s="286">
        <f>J11</f>
        <v>7</v>
      </c>
      <c r="BY11" s="289"/>
      <c r="BZ11" s="289">
        <v>9</v>
      </c>
      <c r="CA11" s="289"/>
      <c r="CB11" s="289"/>
      <c r="CC11" s="289"/>
      <c r="CD11" s="289"/>
      <c r="CE11" s="289"/>
      <c r="CF11" s="289"/>
      <c r="CG11" s="287"/>
      <c r="CH11" s="287"/>
      <c r="CI11" s="287"/>
      <c r="CJ11" s="287"/>
      <c r="CK11" s="287"/>
      <c r="CL11" s="287"/>
      <c r="CM11" s="292">
        <v>7</v>
      </c>
      <c r="CN11" s="292">
        <v>7</v>
      </c>
      <c r="CO11" s="292">
        <v>7</v>
      </c>
      <c r="CP11" s="287"/>
      <c r="CQ11" s="287">
        <v>8</v>
      </c>
      <c r="CR11" s="287">
        <v>10</v>
      </c>
      <c r="CS11" s="288">
        <v>9</v>
      </c>
      <c r="CT11" s="6"/>
      <c r="CU11" s="6"/>
      <c r="CV11" s="6"/>
      <c r="CW11" s="6"/>
      <c r="CX11" s="6"/>
      <c r="CY11" s="6"/>
      <c r="CZ11" s="6"/>
      <c r="DA11" s="343">
        <f t="shared" si="0"/>
        <v>4.71</v>
      </c>
      <c r="DH11" s="238">
        <v>12</v>
      </c>
    </row>
    <row r="12" spans="1:112" ht="20" customHeight="1" x14ac:dyDescent="0.35">
      <c r="A12" s="290"/>
      <c r="B12" s="270" t="s">
        <v>1228</v>
      </c>
      <c r="C12" s="270" t="s">
        <v>1866</v>
      </c>
      <c r="D12" s="297"/>
      <c r="E12" s="270" t="s">
        <v>604</v>
      </c>
      <c r="F12" s="270" t="s">
        <v>1798</v>
      </c>
      <c r="G12" s="270" t="s">
        <v>38</v>
      </c>
      <c r="H12" s="298">
        <v>26</v>
      </c>
      <c r="I12" s="292"/>
      <c r="J12" s="286"/>
      <c r="K12" s="286"/>
      <c r="L12" s="286"/>
      <c r="M12" s="286"/>
      <c r="N12" s="292"/>
      <c r="O12" s="286"/>
      <c r="P12" s="292"/>
      <c r="Q12" s="286"/>
      <c r="R12" s="286"/>
      <c r="S12" s="286"/>
      <c r="T12" s="286"/>
      <c r="U12" s="286"/>
      <c r="V12" s="294"/>
      <c r="W12" s="286"/>
      <c r="X12" s="286"/>
      <c r="Y12" s="286"/>
      <c r="Z12" s="286"/>
      <c r="AA12" s="286"/>
      <c r="AB12" s="286"/>
      <c r="AC12" s="286"/>
      <c r="AD12" s="286"/>
      <c r="AE12" s="286"/>
      <c r="AF12" s="286"/>
      <c r="AG12" s="286"/>
      <c r="AH12" s="286"/>
      <c r="AI12" s="286"/>
      <c r="AJ12" s="286"/>
      <c r="AK12" s="287"/>
      <c r="AL12" s="288"/>
      <c r="AM12" s="287"/>
      <c r="AN12" s="287"/>
      <c r="AO12" s="287"/>
      <c r="AP12" s="286"/>
      <c r="AQ12" s="296"/>
      <c r="AR12" s="286"/>
      <c r="AS12" s="286"/>
      <c r="AT12" s="286"/>
      <c r="AU12" s="286"/>
      <c r="AV12" s="286"/>
      <c r="AW12" s="286"/>
      <c r="AX12" s="286"/>
      <c r="AY12" s="286"/>
      <c r="AZ12" s="286"/>
      <c r="BA12" s="286"/>
      <c r="BB12" s="286"/>
      <c r="BC12" s="286"/>
      <c r="BD12" s="287"/>
      <c r="BE12" s="287"/>
      <c r="BF12" s="287"/>
      <c r="BG12" s="287"/>
      <c r="BH12" s="287"/>
      <c r="BI12" s="287"/>
      <c r="BJ12" s="287"/>
      <c r="BK12" s="287"/>
      <c r="BL12" s="287"/>
      <c r="BM12" s="287"/>
      <c r="BN12" s="287"/>
      <c r="BO12" s="287"/>
      <c r="BP12" s="287"/>
      <c r="BQ12" s="287"/>
      <c r="BR12" s="287"/>
      <c r="BS12" s="287"/>
      <c r="BT12" s="287"/>
      <c r="BU12" s="287"/>
      <c r="BV12" s="287"/>
      <c r="BW12" s="287"/>
      <c r="BX12" s="286"/>
      <c r="BY12" s="289"/>
      <c r="BZ12" s="289"/>
      <c r="CA12" s="289"/>
      <c r="CB12" s="289"/>
      <c r="CC12" s="289"/>
      <c r="CD12" s="289"/>
      <c r="CE12" s="289"/>
      <c r="CF12" s="289"/>
      <c r="CG12" s="287"/>
      <c r="CH12" s="287"/>
      <c r="CI12" s="287"/>
      <c r="CJ12" s="287"/>
      <c r="CK12" s="287"/>
      <c r="CL12" s="287"/>
      <c r="CM12" s="287"/>
      <c r="CN12" s="287"/>
      <c r="CO12" s="287"/>
      <c r="CP12" s="287"/>
      <c r="CQ12" s="287"/>
      <c r="CR12" s="287"/>
      <c r="CS12" s="6"/>
      <c r="CT12" s="6"/>
      <c r="CU12" s="6"/>
      <c r="CV12" s="6"/>
      <c r="CW12" s="6"/>
      <c r="CX12" s="6"/>
      <c r="CY12" s="6"/>
      <c r="CZ12" s="6"/>
      <c r="DA12" s="343">
        <f t="shared" si="0"/>
        <v>26</v>
      </c>
      <c r="DH12" s="238">
        <v>12</v>
      </c>
    </row>
    <row r="13" spans="1:112" ht="20" customHeight="1" x14ac:dyDescent="0.35">
      <c r="A13" s="290">
        <v>520737</v>
      </c>
      <c r="B13" s="270" t="s">
        <v>703</v>
      </c>
      <c r="C13" s="270" t="s">
        <v>1867</v>
      </c>
      <c r="D13" s="297" t="s">
        <v>513</v>
      </c>
      <c r="E13" s="270" t="s">
        <v>54</v>
      </c>
      <c r="F13" s="270" t="s">
        <v>1552</v>
      </c>
      <c r="G13" s="270" t="s">
        <v>31</v>
      </c>
      <c r="H13" s="298">
        <v>2.15</v>
      </c>
      <c r="I13" s="292">
        <v>7</v>
      </c>
      <c r="J13" s="292">
        <v>7</v>
      </c>
      <c r="K13" s="286"/>
      <c r="L13" s="286"/>
      <c r="M13" s="286"/>
      <c r="N13" s="292">
        <v>8</v>
      </c>
      <c r="O13" s="286">
        <v>9</v>
      </c>
      <c r="P13" s="292">
        <v>8</v>
      </c>
      <c r="Q13" s="286">
        <v>8</v>
      </c>
      <c r="R13" s="286">
        <v>8</v>
      </c>
      <c r="S13" s="286">
        <v>8</v>
      </c>
      <c r="T13" s="286">
        <v>7</v>
      </c>
      <c r="U13" s="286">
        <v>7</v>
      </c>
      <c r="V13" s="294">
        <v>8</v>
      </c>
      <c r="W13" s="286"/>
      <c r="X13" s="286"/>
      <c r="Y13" s="286"/>
      <c r="Z13" s="286"/>
      <c r="AA13" s="286">
        <v>8</v>
      </c>
      <c r="AB13" s="286"/>
      <c r="AC13" s="286">
        <v>8</v>
      </c>
      <c r="AD13" s="286"/>
      <c r="AE13" s="286"/>
      <c r="AF13" s="286"/>
      <c r="AG13" s="286"/>
      <c r="AH13" s="286"/>
      <c r="AI13" s="286"/>
      <c r="AJ13" s="286"/>
      <c r="AK13" s="295"/>
      <c r="AL13" s="288"/>
      <c r="AM13" s="287"/>
      <c r="AN13" s="287"/>
      <c r="AO13" s="287"/>
      <c r="AP13" s="286">
        <v>7</v>
      </c>
      <c r="AQ13" s="296"/>
      <c r="AR13" s="286">
        <v>7</v>
      </c>
      <c r="AS13" s="286">
        <v>7</v>
      </c>
      <c r="AT13" s="286">
        <v>7</v>
      </c>
      <c r="AU13" s="286">
        <v>7</v>
      </c>
      <c r="AV13" s="286">
        <v>7</v>
      </c>
      <c r="AW13" s="286">
        <v>7</v>
      </c>
      <c r="AX13" s="286">
        <v>7</v>
      </c>
      <c r="AY13" s="286">
        <v>7</v>
      </c>
      <c r="AZ13" s="286">
        <v>7</v>
      </c>
      <c r="BA13" s="286">
        <v>7</v>
      </c>
      <c r="BB13" s="286">
        <v>7</v>
      </c>
      <c r="BC13" s="286">
        <v>7</v>
      </c>
      <c r="BD13" s="287"/>
      <c r="BE13" s="287"/>
      <c r="BF13" s="287"/>
      <c r="BG13" s="288">
        <v>8</v>
      </c>
      <c r="BH13" s="287"/>
      <c r="BI13" s="287"/>
      <c r="BJ13" s="287"/>
      <c r="BK13" s="287"/>
      <c r="BL13" s="287"/>
      <c r="BM13" s="287"/>
      <c r="BN13" s="287"/>
      <c r="BO13" s="287"/>
      <c r="BP13" s="287"/>
      <c r="BQ13" s="287"/>
      <c r="BR13" s="287"/>
      <c r="BS13" s="287"/>
      <c r="BT13" s="287">
        <v>8</v>
      </c>
      <c r="BU13" s="287"/>
      <c r="BV13" s="287"/>
      <c r="BW13" s="287"/>
      <c r="BX13" s="286">
        <f>J13</f>
        <v>7</v>
      </c>
      <c r="BY13" s="289">
        <v>8</v>
      </c>
      <c r="BZ13" s="289">
        <v>8</v>
      </c>
      <c r="CA13" s="289"/>
      <c r="CB13" s="289"/>
      <c r="CC13" s="289"/>
      <c r="CD13" s="289"/>
      <c r="CE13" s="289"/>
      <c r="CF13" s="289"/>
      <c r="CG13" s="287"/>
      <c r="CH13" s="287"/>
      <c r="CI13" s="287"/>
      <c r="CJ13" s="287"/>
      <c r="CK13" s="287"/>
      <c r="CL13" s="287">
        <v>10</v>
      </c>
      <c r="CM13" s="292">
        <v>7</v>
      </c>
      <c r="CN13" s="292">
        <v>7</v>
      </c>
      <c r="CO13" s="292">
        <v>7</v>
      </c>
      <c r="CP13" s="287"/>
      <c r="CQ13" s="287">
        <v>7</v>
      </c>
      <c r="CR13" s="287">
        <v>9</v>
      </c>
      <c r="CS13" s="288">
        <v>8</v>
      </c>
      <c r="CT13" s="6"/>
      <c r="CU13" s="6"/>
      <c r="CV13" s="6"/>
      <c r="CW13" s="6"/>
      <c r="CX13" s="6"/>
      <c r="CY13" s="6"/>
      <c r="CZ13" s="6"/>
      <c r="DA13" s="343">
        <f t="shared" si="0"/>
        <v>2.15</v>
      </c>
      <c r="DH13" s="238">
        <v>7</v>
      </c>
    </row>
    <row r="14" spans="1:112" ht="20" customHeight="1" x14ac:dyDescent="0.35">
      <c r="A14" s="290" t="s">
        <v>1527</v>
      </c>
      <c r="B14" s="270" t="s">
        <v>704</v>
      </c>
      <c r="C14" s="270" t="s">
        <v>1535</v>
      </c>
      <c r="D14" s="297" t="s">
        <v>513</v>
      </c>
      <c r="E14" s="270" t="s">
        <v>54</v>
      </c>
      <c r="F14" s="270" t="s">
        <v>1552</v>
      </c>
      <c r="G14" s="270" t="s">
        <v>31</v>
      </c>
      <c r="H14" s="298">
        <v>4.68</v>
      </c>
      <c r="I14" s="300">
        <v>8</v>
      </c>
      <c r="J14" s="292">
        <v>0</v>
      </c>
      <c r="K14" s="286"/>
      <c r="L14" s="286"/>
      <c r="M14" s="286"/>
      <c r="N14" s="286"/>
      <c r="O14" s="286">
        <v>10</v>
      </c>
      <c r="P14" s="292">
        <v>10</v>
      </c>
      <c r="Q14" s="286">
        <v>10</v>
      </c>
      <c r="R14" s="286"/>
      <c r="S14" s="286"/>
      <c r="T14" s="286"/>
      <c r="U14" s="286"/>
      <c r="V14" s="294">
        <v>10</v>
      </c>
      <c r="W14" s="286">
        <v>10</v>
      </c>
      <c r="X14" s="286"/>
      <c r="Y14" s="286"/>
      <c r="Z14" s="286"/>
      <c r="AA14" s="286"/>
      <c r="AB14" s="286"/>
      <c r="AC14" s="286">
        <v>9</v>
      </c>
      <c r="AD14" s="286"/>
      <c r="AE14" s="286"/>
      <c r="AF14" s="286"/>
      <c r="AG14" s="286"/>
      <c r="AH14" s="286"/>
      <c r="AI14" s="286"/>
      <c r="AJ14" s="286"/>
      <c r="AK14" s="295"/>
      <c r="AL14" s="288"/>
      <c r="AM14" s="287"/>
      <c r="AN14" s="287"/>
      <c r="AO14" s="287"/>
      <c r="AP14" s="286"/>
      <c r="AQ14" s="296"/>
      <c r="AR14" s="286"/>
      <c r="AS14" s="286"/>
      <c r="AT14" s="286"/>
      <c r="AU14" s="286"/>
      <c r="AV14" s="286"/>
      <c r="AW14" s="286"/>
      <c r="AX14" s="286"/>
      <c r="AY14" s="286"/>
      <c r="AZ14" s="286"/>
      <c r="BA14" s="286"/>
      <c r="BB14" s="286"/>
      <c r="BC14" s="286"/>
      <c r="BD14" s="287"/>
      <c r="BE14" s="287"/>
      <c r="BF14" s="287"/>
      <c r="BG14" s="288">
        <v>10</v>
      </c>
      <c r="BH14" s="287"/>
      <c r="BI14" s="287"/>
      <c r="BJ14" s="287"/>
      <c r="BK14" s="287"/>
      <c r="BL14" s="287"/>
      <c r="BM14" s="287"/>
      <c r="BN14" s="287"/>
      <c r="BO14" s="287"/>
      <c r="BP14" s="287"/>
      <c r="BQ14" s="287"/>
      <c r="BR14" s="287"/>
      <c r="BS14" s="287"/>
      <c r="BT14" s="287"/>
      <c r="BU14" s="287"/>
      <c r="BV14" s="287"/>
      <c r="BW14" s="287"/>
      <c r="BX14" s="286"/>
      <c r="BY14" s="289">
        <v>9</v>
      </c>
      <c r="BZ14" s="289"/>
      <c r="CA14" s="289"/>
      <c r="CB14" s="289"/>
      <c r="CC14" s="289"/>
      <c r="CD14" s="289"/>
      <c r="CE14" s="289"/>
      <c r="CF14" s="289"/>
      <c r="CG14" s="287"/>
      <c r="CH14" s="287"/>
      <c r="CI14" s="287"/>
      <c r="CJ14" s="287"/>
      <c r="CK14" s="287"/>
      <c r="CL14" s="287">
        <v>12</v>
      </c>
      <c r="CM14" s="287"/>
      <c r="CN14" s="287"/>
      <c r="CO14" s="287"/>
      <c r="CP14" s="287"/>
      <c r="CQ14" s="287">
        <v>10</v>
      </c>
      <c r="CR14" s="287"/>
      <c r="CS14" s="296">
        <v>9</v>
      </c>
      <c r="CT14" s="6"/>
      <c r="CU14" s="6"/>
      <c r="CV14" s="6"/>
      <c r="CW14" s="6"/>
      <c r="CX14" s="6"/>
      <c r="CY14" s="6"/>
      <c r="CZ14" s="6"/>
      <c r="DA14" s="343">
        <f t="shared" si="0"/>
        <v>4.68</v>
      </c>
      <c r="DH14" s="238">
        <v>7</v>
      </c>
    </row>
    <row r="15" spans="1:112" ht="20" customHeight="1" x14ac:dyDescent="0.35">
      <c r="A15" s="301"/>
      <c r="B15" s="270" t="s">
        <v>705</v>
      </c>
      <c r="C15" s="270" t="s">
        <v>1536</v>
      </c>
      <c r="D15" s="297" t="s">
        <v>513</v>
      </c>
      <c r="E15" s="270" t="s">
        <v>34</v>
      </c>
      <c r="F15" s="270" t="s">
        <v>1552</v>
      </c>
      <c r="G15" s="270" t="s">
        <v>31</v>
      </c>
      <c r="H15" s="298">
        <v>5</v>
      </c>
      <c r="I15" s="286">
        <v>0</v>
      </c>
      <c r="J15" s="286"/>
      <c r="K15" s="286"/>
      <c r="L15" s="286"/>
      <c r="M15" s="286"/>
      <c r="N15" s="286"/>
      <c r="O15" s="286">
        <v>6</v>
      </c>
      <c r="P15" s="292">
        <v>6</v>
      </c>
      <c r="Q15" s="286">
        <v>7</v>
      </c>
      <c r="R15" s="286"/>
      <c r="S15" s="286"/>
      <c r="T15" s="286"/>
      <c r="U15" s="286"/>
      <c r="V15" s="294"/>
      <c r="W15" s="286"/>
      <c r="X15" s="286"/>
      <c r="Y15" s="286"/>
      <c r="Z15" s="286"/>
      <c r="AA15" s="286"/>
      <c r="AB15" s="286"/>
      <c r="AC15" s="286">
        <v>6</v>
      </c>
      <c r="AD15" s="286"/>
      <c r="AE15" s="286"/>
      <c r="AF15" s="286"/>
      <c r="AG15" s="286"/>
      <c r="AH15" s="286"/>
      <c r="AI15" s="286"/>
      <c r="AJ15" s="286"/>
      <c r="AK15" s="287"/>
      <c r="AL15" s="288"/>
      <c r="AM15" s="287"/>
      <c r="AN15" s="287"/>
      <c r="AO15" s="287"/>
      <c r="AP15" s="286"/>
      <c r="AQ15" s="296"/>
      <c r="AR15" s="286"/>
      <c r="AS15" s="286"/>
      <c r="AT15" s="286"/>
      <c r="AU15" s="286"/>
      <c r="AV15" s="286"/>
      <c r="AW15" s="286"/>
      <c r="AX15" s="286"/>
      <c r="AY15" s="286"/>
      <c r="AZ15" s="286"/>
      <c r="BA15" s="286"/>
      <c r="BB15" s="286"/>
      <c r="BC15" s="286"/>
      <c r="BD15" s="287"/>
      <c r="BE15" s="287"/>
      <c r="BF15" s="287"/>
      <c r="BG15" s="288">
        <v>8</v>
      </c>
      <c r="BH15" s="287"/>
      <c r="BI15" s="287"/>
      <c r="BJ15" s="287"/>
      <c r="BK15" s="287"/>
      <c r="BL15" s="287"/>
      <c r="BM15" s="287"/>
      <c r="BN15" s="287"/>
      <c r="BO15" s="287"/>
      <c r="BP15" s="287"/>
      <c r="BQ15" s="287"/>
      <c r="BR15" s="287"/>
      <c r="BS15" s="287"/>
      <c r="BT15" s="287"/>
      <c r="BU15" s="287"/>
      <c r="BV15" s="287"/>
      <c r="BW15" s="287"/>
      <c r="BX15" s="286"/>
      <c r="BY15" s="289"/>
      <c r="BZ15" s="289"/>
      <c r="CA15" s="289"/>
      <c r="CB15" s="289"/>
      <c r="CC15" s="289"/>
      <c r="CD15" s="289"/>
      <c r="CE15" s="289"/>
      <c r="CF15" s="289"/>
      <c r="CG15" s="287"/>
      <c r="CH15" s="287"/>
      <c r="CI15" s="287"/>
      <c r="CJ15" s="287"/>
      <c r="CK15" s="287"/>
      <c r="CL15" s="287"/>
      <c r="CM15" s="287"/>
      <c r="CN15" s="287"/>
      <c r="CO15" s="287"/>
      <c r="CP15" s="287"/>
      <c r="CQ15" s="287"/>
      <c r="CR15" s="287"/>
      <c r="CS15" s="302">
        <v>10</v>
      </c>
      <c r="CT15" s="6"/>
      <c r="CU15" s="6"/>
      <c r="CV15" s="6"/>
      <c r="CW15" s="6"/>
      <c r="CX15" s="6"/>
      <c r="CY15" s="6"/>
      <c r="CZ15" s="6"/>
      <c r="DA15" s="343">
        <f t="shared" si="0"/>
        <v>5</v>
      </c>
      <c r="DH15" s="238">
        <v>14</v>
      </c>
    </row>
    <row r="16" spans="1:112" ht="20" customHeight="1" x14ac:dyDescent="0.35">
      <c r="A16" s="290"/>
      <c r="B16" s="270" t="s">
        <v>706</v>
      </c>
      <c r="C16" s="270" t="s">
        <v>635</v>
      </c>
      <c r="D16" s="297" t="s">
        <v>513</v>
      </c>
      <c r="E16" s="270" t="s">
        <v>34</v>
      </c>
      <c r="F16" s="270" t="s">
        <v>1552</v>
      </c>
      <c r="G16" s="270" t="s">
        <v>31</v>
      </c>
      <c r="H16" s="298">
        <v>6.5</v>
      </c>
      <c r="I16" s="292">
        <v>10</v>
      </c>
      <c r="J16" s="286"/>
      <c r="K16" s="286"/>
      <c r="L16" s="286"/>
      <c r="M16" s="286"/>
      <c r="N16" s="286"/>
      <c r="O16" s="286">
        <v>7</v>
      </c>
      <c r="P16" s="292">
        <v>7</v>
      </c>
      <c r="Q16" s="286">
        <v>7</v>
      </c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>
        <v>7</v>
      </c>
      <c r="AD16" s="286"/>
      <c r="AE16" s="286"/>
      <c r="AF16" s="286"/>
      <c r="AG16" s="286"/>
      <c r="AH16" s="286"/>
      <c r="AI16" s="286"/>
      <c r="AJ16" s="286"/>
      <c r="AK16" s="295"/>
      <c r="AL16" s="288"/>
      <c r="AM16" s="287"/>
      <c r="AN16" s="287"/>
      <c r="AO16" s="287"/>
      <c r="AP16" s="286"/>
      <c r="AQ16" s="296"/>
      <c r="AR16" s="286"/>
      <c r="AS16" s="286"/>
      <c r="AT16" s="286"/>
      <c r="AU16" s="286"/>
      <c r="AV16" s="286"/>
      <c r="AW16" s="286"/>
      <c r="AX16" s="286"/>
      <c r="AY16" s="286"/>
      <c r="AZ16" s="286"/>
      <c r="BA16" s="286"/>
      <c r="BB16" s="286"/>
      <c r="BC16" s="286"/>
      <c r="BD16" s="287"/>
      <c r="BE16" s="287"/>
      <c r="BF16" s="287"/>
      <c r="BG16" s="288">
        <v>10</v>
      </c>
      <c r="BH16" s="287"/>
      <c r="BI16" s="287"/>
      <c r="BJ16" s="287"/>
      <c r="BK16" s="287"/>
      <c r="BL16" s="287"/>
      <c r="BM16" s="287"/>
      <c r="BN16" s="287"/>
      <c r="BO16" s="287"/>
      <c r="BP16" s="287"/>
      <c r="BQ16" s="287"/>
      <c r="BR16" s="287"/>
      <c r="BS16" s="287"/>
      <c r="BT16" s="287"/>
      <c r="BU16" s="287"/>
      <c r="BV16" s="287"/>
      <c r="BW16" s="287"/>
      <c r="BX16" s="286"/>
      <c r="BY16" s="289"/>
      <c r="BZ16" s="289"/>
      <c r="CA16" s="289"/>
      <c r="CB16" s="289"/>
      <c r="CC16" s="289"/>
      <c r="CD16" s="289"/>
      <c r="CE16" s="289"/>
      <c r="CF16" s="289"/>
      <c r="CG16" s="287"/>
      <c r="CH16" s="287"/>
      <c r="CI16" s="287"/>
      <c r="CJ16" s="287"/>
      <c r="CK16" s="287"/>
      <c r="CL16" s="287"/>
      <c r="CM16" s="287"/>
      <c r="CN16" s="287"/>
      <c r="CO16" s="287"/>
      <c r="CP16" s="287"/>
      <c r="CQ16" s="287"/>
      <c r="CR16" s="287"/>
      <c r="CS16" s="296">
        <v>10</v>
      </c>
      <c r="CT16" s="6"/>
      <c r="CU16" s="6"/>
      <c r="CV16" s="6"/>
      <c r="CW16" s="6"/>
      <c r="CX16" s="6"/>
      <c r="CY16" s="6"/>
      <c r="CZ16" s="6"/>
      <c r="DA16" s="343">
        <f t="shared" si="0"/>
        <v>6.5</v>
      </c>
      <c r="DH16" s="238">
        <v>8</v>
      </c>
    </row>
    <row r="17" spans="1:112" ht="20" customHeight="1" x14ac:dyDescent="0.35">
      <c r="A17" s="290"/>
      <c r="B17" s="270" t="s">
        <v>707</v>
      </c>
      <c r="C17" s="270" t="s">
        <v>636</v>
      </c>
      <c r="D17" s="297" t="s">
        <v>513</v>
      </c>
      <c r="E17" s="270" t="s">
        <v>34</v>
      </c>
      <c r="F17" s="270" t="s">
        <v>1552</v>
      </c>
      <c r="G17" s="270" t="s">
        <v>31</v>
      </c>
      <c r="H17" s="298">
        <v>8</v>
      </c>
      <c r="I17" s="292">
        <v>12</v>
      </c>
      <c r="J17" s="286"/>
      <c r="K17" s="286"/>
      <c r="L17" s="286"/>
      <c r="M17" s="286"/>
      <c r="N17" s="286"/>
      <c r="O17" s="286">
        <v>11</v>
      </c>
      <c r="P17" s="286"/>
      <c r="Q17" s="286"/>
      <c r="R17" s="286"/>
      <c r="S17" s="286"/>
      <c r="T17" s="286"/>
      <c r="U17" s="286"/>
      <c r="V17" s="286"/>
      <c r="W17" s="286"/>
      <c r="X17" s="286"/>
      <c r="Y17" s="286"/>
      <c r="Z17" s="286"/>
      <c r="AA17" s="286"/>
      <c r="AB17" s="286"/>
      <c r="AC17" s="286">
        <v>8</v>
      </c>
      <c r="AD17" s="286"/>
      <c r="AE17" s="286"/>
      <c r="AF17" s="286"/>
      <c r="AG17" s="286"/>
      <c r="AH17" s="286"/>
      <c r="AI17" s="286"/>
      <c r="AJ17" s="286"/>
      <c r="AK17" s="295"/>
      <c r="AL17" s="288"/>
      <c r="AM17" s="287"/>
      <c r="AN17" s="287"/>
      <c r="AO17" s="287"/>
      <c r="AP17" s="286"/>
      <c r="AQ17" s="296"/>
      <c r="AR17" s="286"/>
      <c r="AS17" s="286"/>
      <c r="AT17" s="286"/>
      <c r="AU17" s="286"/>
      <c r="AV17" s="286"/>
      <c r="AW17" s="286"/>
      <c r="AX17" s="286"/>
      <c r="AY17" s="286"/>
      <c r="AZ17" s="286"/>
      <c r="BA17" s="286"/>
      <c r="BB17" s="286"/>
      <c r="BC17" s="286"/>
      <c r="BD17" s="287"/>
      <c r="BE17" s="287"/>
      <c r="BF17" s="287"/>
      <c r="BG17" s="288">
        <v>12</v>
      </c>
      <c r="BH17" s="287"/>
      <c r="BI17" s="287"/>
      <c r="BJ17" s="287"/>
      <c r="BK17" s="287"/>
      <c r="BL17" s="287"/>
      <c r="BM17" s="287"/>
      <c r="BN17" s="287"/>
      <c r="BO17" s="287"/>
      <c r="BP17" s="287"/>
      <c r="BQ17" s="287"/>
      <c r="BR17" s="287"/>
      <c r="BS17" s="287"/>
      <c r="BT17" s="287"/>
      <c r="BU17" s="287"/>
      <c r="BV17" s="287"/>
      <c r="BW17" s="287"/>
      <c r="BX17" s="286"/>
      <c r="BY17" s="289"/>
      <c r="BZ17" s="289"/>
      <c r="CA17" s="289"/>
      <c r="CB17" s="289"/>
      <c r="CC17" s="289"/>
      <c r="CD17" s="289"/>
      <c r="CE17" s="289"/>
      <c r="CF17" s="289"/>
      <c r="CG17" s="287"/>
      <c r="CH17" s="287"/>
      <c r="CI17" s="287"/>
      <c r="CJ17" s="287"/>
      <c r="CK17" s="287"/>
      <c r="CL17" s="287"/>
      <c r="CM17" s="287"/>
      <c r="CN17" s="287"/>
      <c r="CO17" s="287"/>
      <c r="CP17" s="287"/>
      <c r="CQ17" s="287"/>
      <c r="CR17" s="287"/>
      <c r="CS17" s="296">
        <v>12</v>
      </c>
      <c r="CT17" s="6"/>
      <c r="CU17" s="6"/>
      <c r="CV17" s="6"/>
      <c r="CW17" s="6"/>
      <c r="CX17" s="6"/>
      <c r="CY17" s="6"/>
      <c r="CZ17" s="6"/>
      <c r="DA17" s="343">
        <f t="shared" si="0"/>
        <v>8</v>
      </c>
      <c r="DH17" s="238">
        <v>7</v>
      </c>
    </row>
    <row r="18" spans="1:112" ht="20" customHeight="1" x14ac:dyDescent="0.35">
      <c r="A18" s="290"/>
      <c r="B18" s="270" t="s">
        <v>708</v>
      </c>
      <c r="C18" s="270" t="s">
        <v>263</v>
      </c>
      <c r="D18" s="297" t="s">
        <v>513</v>
      </c>
      <c r="E18" s="270" t="s">
        <v>34</v>
      </c>
      <c r="F18" s="270" t="s">
        <v>1552</v>
      </c>
      <c r="G18" s="270" t="s">
        <v>31</v>
      </c>
      <c r="H18" s="298">
        <v>5.5</v>
      </c>
      <c r="I18" s="292">
        <v>12</v>
      </c>
      <c r="J18" s="286"/>
      <c r="K18" s="286"/>
      <c r="L18" s="286"/>
      <c r="M18" s="286"/>
      <c r="N18" s="286"/>
      <c r="O18" s="286"/>
      <c r="P18" s="286"/>
      <c r="Q18" s="286"/>
      <c r="R18" s="286"/>
      <c r="S18" s="286"/>
      <c r="T18" s="286"/>
      <c r="U18" s="286"/>
      <c r="V18" s="293">
        <v>12</v>
      </c>
      <c r="W18" s="286"/>
      <c r="X18" s="286"/>
      <c r="Y18" s="286"/>
      <c r="Z18" s="286"/>
      <c r="AA18" s="286"/>
      <c r="AB18" s="286"/>
      <c r="AC18" s="286">
        <v>8</v>
      </c>
      <c r="AD18" s="286"/>
      <c r="AE18" s="286"/>
      <c r="AF18" s="286"/>
      <c r="AG18" s="286"/>
      <c r="AH18" s="286"/>
      <c r="AI18" s="286"/>
      <c r="AJ18" s="286"/>
      <c r="AK18" s="295"/>
      <c r="AL18" s="288"/>
      <c r="AM18" s="287"/>
      <c r="AN18" s="287"/>
      <c r="AO18" s="287"/>
      <c r="AP18" s="286"/>
      <c r="AQ18" s="296"/>
      <c r="AR18" s="286"/>
      <c r="AS18" s="286"/>
      <c r="AT18" s="286"/>
      <c r="AU18" s="286"/>
      <c r="AV18" s="286"/>
      <c r="AW18" s="286"/>
      <c r="AX18" s="286"/>
      <c r="AY18" s="286"/>
      <c r="AZ18" s="286"/>
      <c r="BA18" s="286"/>
      <c r="BB18" s="286"/>
      <c r="BC18" s="286"/>
      <c r="BD18" s="287"/>
      <c r="BE18" s="287"/>
      <c r="BF18" s="287"/>
      <c r="BG18" s="288">
        <v>12</v>
      </c>
      <c r="BH18" s="287"/>
      <c r="BI18" s="287"/>
      <c r="BJ18" s="287"/>
      <c r="BK18" s="287"/>
      <c r="BL18" s="287"/>
      <c r="BM18" s="287"/>
      <c r="BN18" s="287"/>
      <c r="BO18" s="287"/>
      <c r="BP18" s="287"/>
      <c r="BQ18" s="287"/>
      <c r="BR18" s="287"/>
      <c r="BS18" s="287"/>
      <c r="BT18" s="287"/>
      <c r="BU18" s="287"/>
      <c r="BV18" s="287"/>
      <c r="BW18" s="287"/>
      <c r="BX18" s="286"/>
      <c r="BY18" s="289"/>
      <c r="BZ18" s="289"/>
      <c r="CA18" s="289"/>
      <c r="CB18" s="289"/>
      <c r="CC18" s="289"/>
      <c r="CD18" s="289"/>
      <c r="CE18" s="289"/>
      <c r="CF18" s="289"/>
      <c r="CG18" s="287"/>
      <c r="CH18" s="287"/>
      <c r="CI18" s="287"/>
      <c r="CJ18" s="287"/>
      <c r="CK18" s="287"/>
      <c r="CL18" s="287"/>
      <c r="CM18" s="287"/>
      <c r="CN18" s="287"/>
      <c r="CO18" s="287"/>
      <c r="CP18" s="287"/>
      <c r="CQ18" s="287">
        <v>12</v>
      </c>
      <c r="CR18" s="287"/>
      <c r="CS18" s="296">
        <v>12</v>
      </c>
      <c r="CT18" s="6"/>
      <c r="CU18" s="6"/>
      <c r="CV18" s="6"/>
      <c r="CW18" s="6"/>
      <c r="CX18" s="6"/>
      <c r="CY18" s="6"/>
      <c r="CZ18" s="6"/>
      <c r="DA18" s="343">
        <f t="shared" si="0"/>
        <v>5.5</v>
      </c>
      <c r="DH18" s="238">
        <v>8</v>
      </c>
    </row>
    <row r="19" spans="1:112" ht="20" customHeight="1" x14ac:dyDescent="0.35">
      <c r="A19" s="301"/>
      <c r="B19" s="270" t="s">
        <v>709</v>
      </c>
      <c r="C19" s="270" t="s">
        <v>2035</v>
      </c>
      <c r="D19" s="297" t="s">
        <v>513</v>
      </c>
      <c r="E19" s="270" t="s">
        <v>54</v>
      </c>
      <c r="F19" s="270" t="s">
        <v>1552</v>
      </c>
      <c r="G19" s="270" t="s">
        <v>31</v>
      </c>
      <c r="H19" s="298">
        <v>4</v>
      </c>
      <c r="I19" s="286">
        <v>12</v>
      </c>
      <c r="J19" s="286"/>
      <c r="K19" s="286"/>
      <c r="L19" s="286"/>
      <c r="M19" s="286"/>
      <c r="N19" s="286"/>
      <c r="O19" s="286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286"/>
      <c r="AA19" s="286"/>
      <c r="AB19" s="286"/>
      <c r="AC19" s="286">
        <v>8</v>
      </c>
      <c r="AD19" s="286"/>
      <c r="AE19" s="286"/>
      <c r="AF19" s="286"/>
      <c r="AG19" s="286"/>
      <c r="AH19" s="286"/>
      <c r="AI19" s="286"/>
      <c r="AJ19" s="286">
        <v>9</v>
      </c>
      <c r="AK19" s="287"/>
      <c r="AL19" s="288"/>
      <c r="AM19" s="287"/>
      <c r="AN19" s="287"/>
      <c r="AO19" s="287"/>
      <c r="AP19" s="286"/>
      <c r="AQ19" s="296"/>
      <c r="AR19" s="286"/>
      <c r="AS19" s="286"/>
      <c r="AT19" s="286"/>
      <c r="AU19" s="286"/>
      <c r="AV19" s="286"/>
      <c r="AW19" s="286"/>
      <c r="AX19" s="286"/>
      <c r="AY19" s="286"/>
      <c r="AZ19" s="286"/>
      <c r="BA19" s="286"/>
      <c r="BB19" s="286"/>
      <c r="BC19" s="286"/>
      <c r="BD19" s="287"/>
      <c r="BE19" s="287"/>
      <c r="BF19" s="287"/>
      <c r="BG19" s="288">
        <v>8</v>
      </c>
      <c r="BH19" s="287"/>
      <c r="BI19" s="287"/>
      <c r="BJ19" s="287"/>
      <c r="BK19" s="287"/>
      <c r="BL19" s="287"/>
      <c r="BM19" s="287"/>
      <c r="BN19" s="287"/>
      <c r="BO19" s="287"/>
      <c r="BP19" s="287"/>
      <c r="BQ19" s="287"/>
      <c r="BR19" s="287"/>
      <c r="BS19" s="287"/>
      <c r="BT19" s="287"/>
      <c r="BU19" s="287"/>
      <c r="BV19" s="287"/>
      <c r="BW19" s="287"/>
      <c r="BX19" s="286"/>
      <c r="BY19" s="289"/>
      <c r="BZ19" s="289"/>
      <c r="CA19" s="289"/>
      <c r="CB19" s="289"/>
      <c r="CC19" s="289"/>
      <c r="CD19" s="289"/>
      <c r="CE19" s="289"/>
      <c r="CF19" s="289"/>
      <c r="CG19" s="287"/>
      <c r="CH19" s="287"/>
      <c r="CI19" s="287"/>
      <c r="CJ19" s="287"/>
      <c r="CK19" s="287"/>
      <c r="CL19" s="287"/>
      <c r="CM19" s="287"/>
      <c r="CN19" s="287"/>
      <c r="CO19" s="287"/>
      <c r="CP19" s="287"/>
      <c r="CQ19" s="287">
        <v>10</v>
      </c>
      <c r="CR19" s="287"/>
      <c r="CS19" s="281">
        <v>6.5</v>
      </c>
      <c r="CT19" s="6"/>
      <c r="CU19" s="6"/>
      <c r="CV19" s="6"/>
      <c r="CW19" s="6"/>
      <c r="CX19" s="6"/>
      <c r="CY19" s="6"/>
      <c r="CZ19" s="6"/>
      <c r="DA19" s="343">
        <f t="shared" si="0"/>
        <v>4</v>
      </c>
      <c r="DH19" s="238">
        <v>9</v>
      </c>
    </row>
    <row r="20" spans="1:112" ht="20" customHeight="1" x14ac:dyDescent="0.35">
      <c r="A20" s="301"/>
      <c r="B20" s="270" t="s">
        <v>710</v>
      </c>
      <c r="C20" s="270" t="s">
        <v>262</v>
      </c>
      <c r="D20" s="297" t="s">
        <v>513</v>
      </c>
      <c r="E20" s="270" t="s">
        <v>34</v>
      </c>
      <c r="F20" s="270" t="s">
        <v>1552</v>
      </c>
      <c r="G20" s="270" t="s">
        <v>31</v>
      </c>
      <c r="H20" s="298">
        <f>AVERAGE(I20:BC20)</f>
        <v>0</v>
      </c>
      <c r="I20" s="286">
        <v>0</v>
      </c>
      <c r="J20" s="286"/>
      <c r="K20" s="286"/>
      <c r="L20" s="286"/>
      <c r="M20" s="286"/>
      <c r="N20" s="286"/>
      <c r="O20" s="286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286"/>
      <c r="AG20" s="286"/>
      <c r="AH20" s="286"/>
      <c r="AI20" s="286"/>
      <c r="AJ20" s="286"/>
      <c r="AK20" s="287"/>
      <c r="AL20" s="288"/>
      <c r="AM20" s="287"/>
      <c r="AN20" s="287"/>
      <c r="AO20" s="287"/>
      <c r="AP20" s="286"/>
      <c r="AQ20" s="296"/>
      <c r="AR20" s="286"/>
      <c r="AS20" s="286"/>
      <c r="AT20" s="286"/>
      <c r="AU20" s="286"/>
      <c r="AV20" s="286"/>
      <c r="AW20" s="286"/>
      <c r="AX20" s="286"/>
      <c r="AY20" s="286"/>
      <c r="AZ20" s="286"/>
      <c r="BA20" s="286"/>
      <c r="BB20" s="286"/>
      <c r="BC20" s="286"/>
      <c r="BD20" s="287"/>
      <c r="BE20" s="287"/>
      <c r="BF20" s="287"/>
      <c r="BG20" s="287">
        <v>0</v>
      </c>
      <c r="BH20" s="287"/>
      <c r="BI20" s="287"/>
      <c r="BJ20" s="287"/>
      <c r="BK20" s="287"/>
      <c r="BL20" s="287"/>
      <c r="BM20" s="287"/>
      <c r="BN20" s="287"/>
      <c r="BO20" s="287"/>
      <c r="BP20" s="287"/>
      <c r="BQ20" s="287"/>
      <c r="BR20" s="287"/>
      <c r="BS20" s="287"/>
      <c r="BT20" s="287"/>
      <c r="BU20" s="287"/>
      <c r="BV20" s="287"/>
      <c r="BW20" s="287"/>
      <c r="BX20" s="286"/>
      <c r="BY20" s="289"/>
      <c r="BZ20" s="289"/>
      <c r="CA20" s="289"/>
      <c r="CB20" s="289"/>
      <c r="CC20" s="289"/>
      <c r="CD20" s="289"/>
      <c r="CE20" s="289"/>
      <c r="CF20" s="289"/>
      <c r="CG20" s="287"/>
      <c r="CH20" s="287"/>
      <c r="CI20" s="287"/>
      <c r="CJ20" s="287"/>
      <c r="CK20" s="287"/>
      <c r="CL20" s="287"/>
      <c r="CM20" s="287"/>
      <c r="CN20" s="287"/>
      <c r="CO20" s="287"/>
      <c r="CP20" s="287"/>
      <c r="CQ20" s="287"/>
      <c r="CR20" s="287"/>
      <c r="CS20" s="292">
        <v>10</v>
      </c>
      <c r="CT20" s="6"/>
      <c r="CU20" s="6"/>
      <c r="CV20" s="6"/>
      <c r="CW20" s="6"/>
      <c r="CX20" s="6"/>
      <c r="CY20" s="6"/>
      <c r="CZ20" s="6"/>
      <c r="DA20" s="343">
        <f t="shared" si="0"/>
        <v>0</v>
      </c>
      <c r="DH20" s="238">
        <v>4</v>
      </c>
    </row>
    <row r="21" spans="1:112" ht="20" customHeight="1" x14ac:dyDescent="0.35">
      <c r="A21" s="301"/>
      <c r="B21" s="270" t="s">
        <v>711</v>
      </c>
      <c r="C21" s="270" t="s">
        <v>1297</v>
      </c>
      <c r="D21" s="297" t="s">
        <v>513</v>
      </c>
      <c r="E21" s="270" t="s">
        <v>34</v>
      </c>
      <c r="F21" s="270" t="s">
        <v>1554</v>
      </c>
      <c r="G21" s="270" t="s">
        <v>38</v>
      </c>
      <c r="H21" s="298">
        <v>6</v>
      </c>
      <c r="I21" s="286"/>
      <c r="J21" s="286"/>
      <c r="K21" s="286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>
        <v>7</v>
      </c>
      <c r="AD21" s="286"/>
      <c r="AE21" s="286"/>
      <c r="AF21" s="286"/>
      <c r="AG21" s="286"/>
      <c r="AH21" s="286"/>
      <c r="AI21" s="286"/>
      <c r="AJ21" s="286"/>
      <c r="AK21" s="287"/>
      <c r="AL21" s="288"/>
      <c r="AM21" s="287"/>
      <c r="AN21" s="287"/>
      <c r="AO21" s="287"/>
      <c r="AP21" s="286"/>
      <c r="AQ21" s="296"/>
      <c r="AR21" s="286"/>
      <c r="AS21" s="286"/>
      <c r="AT21" s="286"/>
      <c r="AU21" s="286"/>
      <c r="AV21" s="286"/>
      <c r="AW21" s="286"/>
      <c r="AX21" s="286"/>
      <c r="AY21" s="286"/>
      <c r="AZ21" s="286"/>
      <c r="BA21" s="286"/>
      <c r="BB21" s="286"/>
      <c r="BC21" s="286"/>
      <c r="BD21" s="287"/>
      <c r="BE21" s="287"/>
      <c r="BF21" s="287"/>
      <c r="BG21" s="288">
        <v>8</v>
      </c>
      <c r="BH21" s="287"/>
      <c r="BI21" s="287"/>
      <c r="BJ21" s="287"/>
      <c r="BK21" s="287"/>
      <c r="BL21" s="287"/>
      <c r="BM21" s="287"/>
      <c r="BN21" s="287"/>
      <c r="BO21" s="287"/>
      <c r="BP21" s="287"/>
      <c r="BQ21" s="287"/>
      <c r="BR21" s="287"/>
      <c r="BS21" s="287"/>
      <c r="BT21" s="287"/>
      <c r="BU21" s="287"/>
      <c r="BV21" s="287"/>
      <c r="BW21" s="287"/>
      <c r="BX21" s="286"/>
      <c r="BY21" s="289"/>
      <c r="BZ21" s="289"/>
      <c r="CA21" s="289"/>
      <c r="CB21" s="289"/>
      <c r="CC21" s="289"/>
      <c r="CD21" s="289"/>
      <c r="CE21" s="289"/>
      <c r="CF21" s="289"/>
      <c r="CG21" s="287"/>
      <c r="CH21" s="287"/>
      <c r="CI21" s="287"/>
      <c r="CJ21" s="287"/>
      <c r="CK21" s="287"/>
      <c r="CL21" s="287"/>
      <c r="CM21" s="287"/>
      <c r="CN21" s="287"/>
      <c r="CO21" s="287"/>
      <c r="CP21" s="287"/>
      <c r="CQ21" s="287"/>
      <c r="CR21" s="287"/>
      <c r="CS21" s="303">
        <v>14</v>
      </c>
      <c r="CT21" s="6"/>
      <c r="CU21" s="6"/>
      <c r="CV21" s="6"/>
      <c r="CW21" s="6"/>
      <c r="CX21" s="6"/>
      <c r="CY21" s="6"/>
      <c r="CZ21" s="6"/>
      <c r="DA21" s="343">
        <f t="shared" si="0"/>
        <v>6</v>
      </c>
      <c r="DH21" s="238">
        <v>5.5</v>
      </c>
    </row>
    <row r="22" spans="1:112" ht="20" customHeight="1" x14ac:dyDescent="0.35">
      <c r="A22" s="290">
        <v>520699</v>
      </c>
      <c r="B22" s="270" t="s">
        <v>712</v>
      </c>
      <c r="C22" s="270" t="s">
        <v>638</v>
      </c>
      <c r="D22" s="297" t="s">
        <v>513</v>
      </c>
      <c r="E22" s="270" t="s">
        <v>54</v>
      </c>
      <c r="F22" s="270" t="s">
        <v>1553</v>
      </c>
      <c r="G22" s="270" t="s">
        <v>39</v>
      </c>
      <c r="H22" s="298">
        <v>0.89</v>
      </c>
      <c r="I22" s="300">
        <v>7</v>
      </c>
      <c r="J22" s="292">
        <v>6</v>
      </c>
      <c r="K22" s="286"/>
      <c r="L22" s="286"/>
      <c r="M22" s="286"/>
      <c r="N22" s="286"/>
      <c r="O22" s="286">
        <v>7</v>
      </c>
      <c r="P22" s="292">
        <v>7</v>
      </c>
      <c r="Q22" s="286">
        <v>6</v>
      </c>
      <c r="R22" s="286"/>
      <c r="S22" s="286">
        <v>7</v>
      </c>
      <c r="T22" s="286">
        <v>6</v>
      </c>
      <c r="U22" s="286"/>
      <c r="V22" s="294">
        <v>8</v>
      </c>
      <c r="W22" s="286"/>
      <c r="X22" s="286">
        <v>8</v>
      </c>
      <c r="Y22" s="286">
        <v>6.5</v>
      </c>
      <c r="Z22" s="286">
        <v>6.5</v>
      </c>
      <c r="AA22" s="286"/>
      <c r="AB22" s="286"/>
      <c r="AC22" s="286">
        <v>6</v>
      </c>
      <c r="AD22" s="286"/>
      <c r="AE22" s="286"/>
      <c r="AF22" s="286"/>
      <c r="AG22" s="286"/>
      <c r="AH22" s="286">
        <v>7</v>
      </c>
      <c r="AI22" s="286"/>
      <c r="AJ22" s="286">
        <v>6.5</v>
      </c>
      <c r="AK22" s="295">
        <v>7</v>
      </c>
      <c r="AL22" s="288">
        <v>6</v>
      </c>
      <c r="AM22" s="287">
        <v>8</v>
      </c>
      <c r="AN22" s="287">
        <v>5.5</v>
      </c>
      <c r="AO22" s="286">
        <v>6</v>
      </c>
      <c r="AP22" s="286">
        <v>6</v>
      </c>
      <c r="AQ22" s="296">
        <v>8</v>
      </c>
      <c r="AR22" s="286">
        <v>6</v>
      </c>
      <c r="AS22" s="286"/>
      <c r="AT22" s="286">
        <v>6</v>
      </c>
      <c r="AU22" s="286">
        <v>6</v>
      </c>
      <c r="AV22" s="286">
        <v>6</v>
      </c>
      <c r="AW22" s="286">
        <v>6</v>
      </c>
      <c r="AX22" s="286">
        <v>6</v>
      </c>
      <c r="AY22" s="286">
        <v>6</v>
      </c>
      <c r="AZ22" s="286">
        <v>6</v>
      </c>
      <c r="BA22" s="286">
        <v>6</v>
      </c>
      <c r="BB22" s="286">
        <f>BA22</f>
        <v>6</v>
      </c>
      <c r="BC22" s="286">
        <v>6</v>
      </c>
      <c r="BD22" s="287"/>
      <c r="BE22" s="287"/>
      <c r="BF22" s="287"/>
      <c r="BG22" s="288">
        <v>8</v>
      </c>
      <c r="BH22" s="287"/>
      <c r="BI22" s="287"/>
      <c r="BJ22" s="287"/>
      <c r="BK22" s="287"/>
      <c r="BL22" s="287"/>
      <c r="BM22" s="287"/>
      <c r="BN22" s="287"/>
      <c r="BO22" s="287"/>
      <c r="BP22" s="287"/>
      <c r="BQ22" s="287"/>
      <c r="BR22" s="287"/>
      <c r="BS22" s="287"/>
      <c r="BT22" s="287"/>
      <c r="BU22" s="287"/>
      <c r="BV22" s="287"/>
      <c r="BW22" s="287"/>
      <c r="BX22" s="286">
        <f>J22</f>
        <v>6</v>
      </c>
      <c r="BY22" s="289"/>
      <c r="BZ22" s="289">
        <v>7</v>
      </c>
      <c r="CA22" s="289"/>
      <c r="CB22" s="289"/>
      <c r="CC22" s="289"/>
      <c r="CD22" s="289"/>
      <c r="CE22" s="289"/>
      <c r="CF22" s="289"/>
      <c r="CG22" s="287"/>
      <c r="CH22" s="287"/>
      <c r="CI22" s="287"/>
      <c r="CJ22" s="287"/>
      <c r="CK22" s="287"/>
      <c r="CL22" s="287">
        <v>7</v>
      </c>
      <c r="CM22" s="287"/>
      <c r="CN22" s="292">
        <v>6</v>
      </c>
      <c r="CO22" s="292">
        <v>6</v>
      </c>
      <c r="CP22" s="287"/>
      <c r="CQ22" s="287">
        <v>6</v>
      </c>
      <c r="CR22" s="287">
        <v>8</v>
      </c>
      <c r="CS22" s="296">
        <v>6</v>
      </c>
      <c r="CT22" s="6"/>
      <c r="CU22" s="6"/>
      <c r="CV22" s="6"/>
      <c r="CW22" s="6"/>
      <c r="CX22" s="6"/>
      <c r="CY22" s="6"/>
      <c r="CZ22" s="6"/>
      <c r="DA22" s="343">
        <f t="shared" si="0"/>
        <v>0.89</v>
      </c>
      <c r="DH22" s="238">
        <v>10</v>
      </c>
    </row>
    <row r="23" spans="1:112" ht="20" customHeight="1" x14ac:dyDescent="0.35">
      <c r="A23" s="290">
        <v>520704</v>
      </c>
      <c r="B23" s="270" t="s">
        <v>713</v>
      </c>
      <c r="C23" s="270" t="s">
        <v>1537</v>
      </c>
      <c r="D23" s="297" t="s">
        <v>513</v>
      </c>
      <c r="E23" s="270" t="s">
        <v>54</v>
      </c>
      <c r="F23" s="270" t="s">
        <v>2285</v>
      </c>
      <c r="G23" s="270" t="s">
        <v>38</v>
      </c>
      <c r="H23" s="298">
        <v>2.44</v>
      </c>
      <c r="I23" s="300">
        <v>7.5</v>
      </c>
      <c r="J23" s="292">
        <v>6.5</v>
      </c>
      <c r="K23" s="286"/>
      <c r="L23" s="286">
        <v>7.5</v>
      </c>
      <c r="M23" s="400"/>
      <c r="N23" s="286"/>
      <c r="O23" s="286">
        <v>7.5</v>
      </c>
      <c r="P23" s="292">
        <v>7.5</v>
      </c>
      <c r="Q23" s="286">
        <v>8</v>
      </c>
      <c r="R23" s="286"/>
      <c r="S23" s="286">
        <v>7.5</v>
      </c>
      <c r="T23" s="286">
        <v>6.5</v>
      </c>
      <c r="U23" s="286">
        <v>6.5</v>
      </c>
      <c r="V23" s="294">
        <v>7</v>
      </c>
      <c r="W23" s="286"/>
      <c r="X23" s="286"/>
      <c r="Y23" s="286"/>
      <c r="Z23" s="286">
        <v>7</v>
      </c>
      <c r="AA23" s="286">
        <v>7</v>
      </c>
      <c r="AB23" s="286">
        <v>7.5</v>
      </c>
      <c r="AC23" s="286">
        <v>7.5</v>
      </c>
      <c r="AD23" s="286"/>
      <c r="AE23" s="286"/>
      <c r="AF23" s="286">
        <v>7</v>
      </c>
      <c r="AG23" s="286"/>
      <c r="AH23" s="286"/>
      <c r="AI23" s="286">
        <v>6.5</v>
      </c>
      <c r="AJ23" s="286">
        <v>8</v>
      </c>
      <c r="AK23" s="295">
        <v>7</v>
      </c>
      <c r="AL23" s="288">
        <v>6.5</v>
      </c>
      <c r="AM23" s="287">
        <v>7</v>
      </c>
      <c r="AN23" s="287"/>
      <c r="AO23" s="287">
        <v>6.5</v>
      </c>
      <c r="AP23" s="286">
        <v>6.5</v>
      </c>
      <c r="AQ23" s="296">
        <v>7.5</v>
      </c>
      <c r="AR23" s="286">
        <v>6.5</v>
      </c>
      <c r="AS23" s="286"/>
      <c r="AT23" s="286">
        <v>6.5</v>
      </c>
      <c r="AU23" s="286">
        <v>6.5</v>
      </c>
      <c r="AV23" s="286">
        <v>6.5</v>
      </c>
      <c r="AW23" s="286">
        <v>6.5</v>
      </c>
      <c r="AX23" s="286">
        <v>6.5</v>
      </c>
      <c r="AY23" s="286">
        <v>6.5</v>
      </c>
      <c r="AZ23" s="286">
        <v>6.5</v>
      </c>
      <c r="BA23" s="286">
        <v>6.5</v>
      </c>
      <c r="BB23" s="286">
        <f>BA23</f>
        <v>6.5</v>
      </c>
      <c r="BC23" s="286">
        <v>6.5</v>
      </c>
      <c r="BD23" s="287"/>
      <c r="BE23" s="287"/>
      <c r="BF23" s="287"/>
      <c r="BG23" s="288">
        <v>7.5</v>
      </c>
      <c r="BH23" s="287"/>
      <c r="BI23" s="287"/>
      <c r="BJ23" s="287"/>
      <c r="BK23" s="287"/>
      <c r="BL23" s="287"/>
      <c r="BM23" s="287"/>
      <c r="BN23" s="287"/>
      <c r="BO23" s="287"/>
      <c r="BP23" s="287"/>
      <c r="BQ23" s="287"/>
      <c r="BR23" s="287">
        <v>7.5</v>
      </c>
      <c r="BS23" s="287"/>
      <c r="BT23" s="287"/>
      <c r="BU23" s="287">
        <v>7</v>
      </c>
      <c r="BV23" s="287"/>
      <c r="BW23" s="287"/>
      <c r="BX23" s="286">
        <f>J23</f>
        <v>6.5</v>
      </c>
      <c r="BY23" s="289"/>
      <c r="BZ23" s="289">
        <v>7</v>
      </c>
      <c r="CA23" s="289"/>
      <c r="CB23" s="289">
        <v>7</v>
      </c>
      <c r="CC23" s="289">
        <v>7</v>
      </c>
      <c r="CD23" s="289"/>
      <c r="CE23" s="289"/>
      <c r="CF23" s="289"/>
      <c r="CG23" s="287"/>
      <c r="CH23" s="287"/>
      <c r="CI23" s="287"/>
      <c r="CJ23" s="287"/>
      <c r="CK23" s="287"/>
      <c r="CL23" s="287">
        <v>8</v>
      </c>
      <c r="CM23" s="292">
        <v>6.5</v>
      </c>
      <c r="CN23" s="292">
        <v>6.5</v>
      </c>
      <c r="CO23" s="292">
        <v>6.5</v>
      </c>
      <c r="CP23" s="287"/>
      <c r="CQ23" s="287">
        <v>8</v>
      </c>
      <c r="CR23" s="287">
        <v>7.5</v>
      </c>
      <c r="CS23" s="296">
        <v>6.5</v>
      </c>
      <c r="CT23" s="6"/>
      <c r="CU23" s="6"/>
      <c r="CV23" s="6"/>
      <c r="CW23" s="6"/>
      <c r="CX23" s="6"/>
      <c r="CY23" s="6"/>
      <c r="CZ23" s="6"/>
      <c r="DA23" s="343">
        <f t="shared" si="0"/>
        <v>2.44</v>
      </c>
      <c r="DH23" s="238">
        <v>3.5</v>
      </c>
    </row>
    <row r="24" spans="1:112" ht="20" customHeight="1" x14ac:dyDescent="0.35">
      <c r="A24" s="290" t="s">
        <v>2062</v>
      </c>
      <c r="B24" s="270" t="s">
        <v>713</v>
      </c>
      <c r="C24" s="270" t="s">
        <v>1537</v>
      </c>
      <c r="D24" s="297" t="s">
        <v>513</v>
      </c>
      <c r="E24" s="270" t="s">
        <v>54</v>
      </c>
      <c r="F24" s="270" t="s">
        <v>2285</v>
      </c>
      <c r="G24" s="270" t="s">
        <v>38</v>
      </c>
      <c r="H24" s="298">
        <v>2.44</v>
      </c>
      <c r="I24" s="292"/>
      <c r="J24" s="292"/>
      <c r="K24" s="286"/>
      <c r="L24" s="286"/>
      <c r="M24" s="286"/>
      <c r="N24" s="286"/>
      <c r="O24" s="286"/>
      <c r="P24" s="292"/>
      <c r="Q24" s="286"/>
      <c r="R24" s="286"/>
      <c r="S24" s="286"/>
      <c r="T24" s="286"/>
      <c r="U24" s="286"/>
      <c r="V24" s="294"/>
      <c r="W24" s="286"/>
      <c r="X24" s="286"/>
      <c r="Y24" s="286"/>
      <c r="Z24" s="286"/>
      <c r="AA24" s="286"/>
      <c r="AB24" s="286"/>
      <c r="AC24" s="286"/>
      <c r="AD24" s="286"/>
      <c r="AE24" s="286"/>
      <c r="AF24" s="286"/>
      <c r="AG24" s="286"/>
      <c r="AH24" s="286"/>
      <c r="AI24" s="286"/>
      <c r="AJ24" s="286"/>
      <c r="AK24" s="295"/>
      <c r="AL24" s="288"/>
      <c r="AM24" s="287"/>
      <c r="AN24" s="287"/>
      <c r="AO24" s="287"/>
      <c r="AP24" s="286"/>
      <c r="AQ24" s="296"/>
      <c r="AR24" s="286"/>
      <c r="AS24" s="286"/>
      <c r="AT24" s="286"/>
      <c r="AU24" s="286"/>
      <c r="AV24" s="286"/>
      <c r="AW24" s="286"/>
      <c r="AX24" s="286"/>
      <c r="AY24" s="286"/>
      <c r="AZ24" s="286"/>
      <c r="BA24" s="286"/>
      <c r="BB24" s="286"/>
      <c r="BC24" s="286"/>
      <c r="BD24" s="287"/>
      <c r="BE24" s="287"/>
      <c r="BF24" s="287"/>
      <c r="BG24" s="288"/>
      <c r="BH24" s="287"/>
      <c r="BI24" s="287"/>
      <c r="BJ24" s="287"/>
      <c r="BK24" s="287"/>
      <c r="BL24" s="287"/>
      <c r="BM24" s="287"/>
      <c r="BN24" s="287"/>
      <c r="BO24" s="287"/>
      <c r="BP24" s="287"/>
      <c r="BQ24" s="287"/>
      <c r="BR24" s="287"/>
      <c r="BS24" s="287"/>
      <c r="BT24" s="287"/>
      <c r="BU24" s="287"/>
      <c r="BV24" s="287"/>
      <c r="BW24" s="287"/>
      <c r="BX24" s="286"/>
      <c r="BY24" s="289"/>
      <c r="BZ24" s="289"/>
      <c r="CA24" s="289"/>
      <c r="CB24" s="289"/>
      <c r="CC24" s="289"/>
      <c r="CD24" s="289"/>
      <c r="CE24" s="289"/>
      <c r="CF24" s="289"/>
      <c r="CG24" s="287"/>
      <c r="CH24" s="287"/>
      <c r="CI24" s="287"/>
      <c r="CJ24" s="287"/>
      <c r="CK24" s="287"/>
      <c r="CL24" s="287"/>
      <c r="CM24" s="287"/>
      <c r="CN24" s="292"/>
      <c r="CO24" s="292"/>
      <c r="CP24" s="287"/>
      <c r="CQ24" s="287">
        <v>6.5</v>
      </c>
      <c r="CR24" s="287"/>
      <c r="CS24" s="296">
        <v>6.5</v>
      </c>
      <c r="CT24" s="6"/>
      <c r="CU24" s="6"/>
      <c r="CV24" s="6"/>
      <c r="CW24" s="6"/>
      <c r="CX24" s="6"/>
      <c r="CY24" s="6"/>
      <c r="CZ24" s="6"/>
      <c r="DA24" s="343">
        <f>H24</f>
        <v>2.44</v>
      </c>
      <c r="DH24" s="238">
        <v>3.5</v>
      </c>
    </row>
    <row r="25" spans="1:112" ht="20" customHeight="1" x14ac:dyDescent="0.35">
      <c r="A25" s="290">
        <v>1350861</v>
      </c>
      <c r="B25" s="270" t="s">
        <v>1063</v>
      </c>
      <c r="C25" s="270" t="s">
        <v>1064</v>
      </c>
      <c r="D25" s="297" t="s">
        <v>513</v>
      </c>
      <c r="E25" s="270" t="s">
        <v>54</v>
      </c>
      <c r="F25" s="270" t="s">
        <v>2284</v>
      </c>
      <c r="G25" s="270" t="s">
        <v>38</v>
      </c>
      <c r="H25" s="298">
        <v>0</v>
      </c>
      <c r="I25" s="292"/>
      <c r="J25" s="286"/>
      <c r="K25" s="286"/>
      <c r="L25" s="286"/>
      <c r="M25" s="286"/>
      <c r="N25" s="286"/>
      <c r="O25" s="286">
        <v>12</v>
      </c>
      <c r="P25" s="286"/>
      <c r="Q25" s="286"/>
      <c r="R25" s="286"/>
      <c r="S25" s="286"/>
      <c r="T25" s="286"/>
      <c r="U25" s="286"/>
      <c r="V25" s="294"/>
      <c r="W25" s="286"/>
      <c r="X25" s="286"/>
      <c r="Y25" s="286"/>
      <c r="Z25" s="286"/>
      <c r="AA25" s="286">
        <v>12</v>
      </c>
      <c r="AB25" s="286"/>
      <c r="AC25" s="286"/>
      <c r="AD25" s="286"/>
      <c r="AE25" s="286"/>
      <c r="AF25" s="286"/>
      <c r="AG25" s="286"/>
      <c r="AH25" s="286"/>
      <c r="AI25" s="286"/>
      <c r="AJ25" s="286"/>
      <c r="AK25" s="287"/>
      <c r="AL25" s="288"/>
      <c r="AM25" s="287"/>
      <c r="AN25" s="287"/>
      <c r="AO25" s="287"/>
      <c r="AP25" s="286"/>
      <c r="AQ25" s="296"/>
      <c r="AR25" s="286"/>
      <c r="AS25" s="286"/>
      <c r="AT25" s="286"/>
      <c r="AU25" s="286"/>
      <c r="AV25" s="286"/>
      <c r="AW25" s="286"/>
      <c r="AX25" s="286"/>
      <c r="AY25" s="286"/>
      <c r="AZ25" s="286"/>
      <c r="BA25" s="286"/>
      <c r="BB25" s="286"/>
      <c r="BC25" s="286"/>
      <c r="BD25" s="287"/>
      <c r="BE25" s="287"/>
      <c r="BF25" s="287"/>
      <c r="BG25" s="287"/>
      <c r="BH25" s="287"/>
      <c r="BI25" s="287"/>
      <c r="BJ25" s="287">
        <v>12</v>
      </c>
      <c r="BK25" s="287"/>
      <c r="BL25" s="287"/>
      <c r="BM25" s="287"/>
      <c r="BN25" s="287"/>
      <c r="BO25" s="287"/>
      <c r="BP25" s="287"/>
      <c r="BQ25" s="287"/>
      <c r="BR25" s="287"/>
      <c r="BS25" s="287">
        <v>12</v>
      </c>
      <c r="BT25" s="287"/>
      <c r="BU25" s="287"/>
      <c r="BV25" s="287"/>
      <c r="BW25" s="287"/>
      <c r="BX25" s="286"/>
      <c r="BY25" s="289">
        <v>10</v>
      </c>
      <c r="BZ25" s="289"/>
      <c r="CA25" s="289"/>
      <c r="CB25" s="289">
        <v>10</v>
      </c>
      <c r="CC25" s="289"/>
      <c r="CD25" s="289"/>
      <c r="CE25" s="289"/>
      <c r="CF25" s="289"/>
      <c r="CG25" s="287"/>
      <c r="CH25" s="287"/>
      <c r="CI25" s="287"/>
      <c r="CJ25" s="287"/>
      <c r="CK25" s="287"/>
      <c r="CL25" s="287"/>
      <c r="CM25" s="287"/>
      <c r="CN25" s="287"/>
      <c r="CO25" s="287"/>
      <c r="CP25" s="287"/>
      <c r="CQ25" s="287"/>
      <c r="CR25" s="287">
        <v>12</v>
      </c>
      <c r="CS25" s="296">
        <v>10</v>
      </c>
      <c r="CT25" s="6"/>
      <c r="CU25" s="6"/>
      <c r="CV25" s="6"/>
      <c r="CW25" s="6"/>
      <c r="CX25" s="6"/>
      <c r="CY25" s="6"/>
      <c r="CZ25" s="6"/>
      <c r="DA25" s="343">
        <f t="shared" si="0"/>
        <v>0</v>
      </c>
      <c r="DH25" s="238">
        <v>3.5</v>
      </c>
    </row>
    <row r="26" spans="1:112" ht="20" customHeight="1" x14ac:dyDescent="0.35">
      <c r="A26" s="290"/>
      <c r="B26" s="270" t="s">
        <v>714</v>
      </c>
      <c r="C26" s="132" t="s">
        <v>1983</v>
      </c>
      <c r="D26" s="297" t="s">
        <v>513</v>
      </c>
      <c r="E26" s="270" t="s">
        <v>573</v>
      </c>
      <c r="F26" s="270" t="s">
        <v>614</v>
      </c>
      <c r="G26" s="270" t="s">
        <v>39</v>
      </c>
      <c r="H26" s="298">
        <v>7</v>
      </c>
      <c r="I26" s="286"/>
      <c r="J26" s="286"/>
      <c r="K26" s="286"/>
      <c r="L26" s="286"/>
      <c r="M26" s="286"/>
      <c r="N26" s="300">
        <v>10</v>
      </c>
      <c r="O26" s="286"/>
      <c r="P26" s="286"/>
      <c r="Q26" s="286"/>
      <c r="R26" s="286"/>
      <c r="S26" s="286"/>
      <c r="T26" s="286"/>
      <c r="U26" s="286"/>
      <c r="V26" s="294"/>
      <c r="W26" s="286"/>
      <c r="X26" s="286"/>
      <c r="Y26" s="286"/>
      <c r="Z26" s="286"/>
      <c r="AA26" s="286"/>
      <c r="AB26" s="286">
        <v>9.8000000000000007</v>
      </c>
      <c r="AC26" s="286"/>
      <c r="AD26" s="286"/>
      <c r="AE26" s="286"/>
      <c r="AF26" s="286"/>
      <c r="AG26" s="286"/>
      <c r="AH26" s="286"/>
      <c r="AI26" s="286"/>
      <c r="AJ26" s="286"/>
      <c r="AK26" s="287"/>
      <c r="AL26" s="288"/>
      <c r="AM26" s="287"/>
      <c r="AN26" s="287"/>
      <c r="AO26" s="287"/>
      <c r="AP26" s="286"/>
      <c r="AQ26" s="296">
        <v>10</v>
      </c>
      <c r="AR26" s="286"/>
      <c r="AS26" s="286"/>
      <c r="AT26" s="286"/>
      <c r="AU26" s="286"/>
      <c r="AV26" s="286"/>
      <c r="AW26" s="286"/>
      <c r="AX26" s="286"/>
      <c r="AY26" s="286"/>
      <c r="AZ26" s="286"/>
      <c r="BA26" s="286"/>
      <c r="BB26" s="286"/>
      <c r="BC26" s="286"/>
      <c r="BD26" s="287"/>
      <c r="BE26" s="287"/>
      <c r="BF26" s="287"/>
      <c r="BG26" s="287"/>
      <c r="BH26" s="287"/>
      <c r="BI26" s="287"/>
      <c r="BJ26" s="287"/>
      <c r="BK26" s="287"/>
      <c r="BL26" s="287"/>
      <c r="BM26" s="287"/>
      <c r="BN26" s="287"/>
      <c r="BO26" s="287"/>
      <c r="BP26" s="287"/>
      <c r="BQ26" s="287"/>
      <c r="BR26" s="287"/>
      <c r="BS26" s="287"/>
      <c r="BT26" s="287"/>
      <c r="BU26" s="287"/>
      <c r="BV26" s="287"/>
      <c r="BW26" s="287"/>
      <c r="BX26" s="286"/>
      <c r="BY26" s="289"/>
      <c r="BZ26" s="289"/>
      <c r="CA26" s="289"/>
      <c r="CB26" s="289"/>
      <c r="CC26" s="289"/>
      <c r="CD26" s="289"/>
      <c r="CE26" s="289"/>
      <c r="CF26" s="289"/>
      <c r="CG26" s="287"/>
      <c r="CH26" s="287"/>
      <c r="CI26" s="287"/>
      <c r="CJ26" s="287"/>
      <c r="CK26" s="287"/>
      <c r="CL26" s="287"/>
      <c r="CM26" s="287"/>
      <c r="CN26" s="287"/>
      <c r="CO26" s="287"/>
      <c r="CP26" s="287"/>
      <c r="CQ26" s="287"/>
      <c r="CR26" s="287"/>
      <c r="CS26" s="302">
        <v>6</v>
      </c>
      <c r="CT26" s="6"/>
      <c r="CU26" s="6"/>
      <c r="CV26" s="6"/>
      <c r="CW26" s="6"/>
      <c r="CX26" s="6"/>
      <c r="CY26" s="6"/>
      <c r="CZ26" s="6"/>
      <c r="DA26" s="343">
        <f t="shared" si="0"/>
        <v>7</v>
      </c>
      <c r="DH26" s="238">
        <v>6.5</v>
      </c>
    </row>
    <row r="27" spans="1:112" ht="20" customHeight="1" x14ac:dyDescent="0.35">
      <c r="A27" s="290"/>
      <c r="B27" s="270" t="s">
        <v>715</v>
      </c>
      <c r="C27" s="270" t="s">
        <v>637</v>
      </c>
      <c r="D27" s="297" t="s">
        <v>513</v>
      </c>
      <c r="E27" s="270" t="s">
        <v>54</v>
      </c>
      <c r="F27" s="270" t="s">
        <v>2168</v>
      </c>
      <c r="G27" s="270" t="s">
        <v>138</v>
      </c>
      <c r="H27" s="298">
        <v>8.89</v>
      </c>
      <c r="I27" s="292">
        <v>20</v>
      </c>
      <c r="J27" s="286"/>
      <c r="K27" s="286"/>
      <c r="L27" s="286"/>
      <c r="M27" s="286"/>
      <c r="N27" s="286"/>
      <c r="O27" s="286">
        <v>0</v>
      </c>
      <c r="P27" s="286">
        <v>0</v>
      </c>
      <c r="Q27" s="286">
        <v>20</v>
      </c>
      <c r="R27" s="286"/>
      <c r="S27" s="286">
        <v>20</v>
      </c>
      <c r="T27" s="286"/>
      <c r="U27" s="286"/>
      <c r="V27" s="286"/>
      <c r="W27" s="286"/>
      <c r="X27" s="286"/>
      <c r="Y27" s="286">
        <v>20</v>
      </c>
      <c r="Z27" s="286"/>
      <c r="AA27" s="286">
        <v>20</v>
      </c>
      <c r="AB27" s="286"/>
      <c r="AC27" s="286"/>
      <c r="AD27" s="286"/>
      <c r="AE27" s="286"/>
      <c r="AF27" s="286"/>
      <c r="AG27" s="286"/>
      <c r="AH27" s="286"/>
      <c r="AI27" s="286"/>
      <c r="AJ27" s="286">
        <v>20</v>
      </c>
      <c r="AK27" s="295">
        <v>20</v>
      </c>
      <c r="AL27" s="288"/>
      <c r="AM27" s="287"/>
      <c r="AN27" s="287"/>
      <c r="AO27" s="287"/>
      <c r="AP27" s="286"/>
      <c r="AQ27" s="296">
        <v>20</v>
      </c>
      <c r="AR27" s="286"/>
      <c r="AS27" s="286"/>
      <c r="AT27" s="286"/>
      <c r="AU27" s="286"/>
      <c r="AV27" s="286"/>
      <c r="AW27" s="286"/>
      <c r="AX27" s="286"/>
      <c r="AY27" s="286"/>
      <c r="AZ27" s="286"/>
      <c r="BA27" s="286"/>
      <c r="BB27" s="286"/>
      <c r="BC27" s="286"/>
      <c r="BD27" s="287"/>
      <c r="BE27" s="287"/>
      <c r="BF27" s="287"/>
      <c r="BG27" s="288">
        <v>20</v>
      </c>
      <c r="BH27" s="287"/>
      <c r="BI27" s="287"/>
      <c r="BJ27" s="287"/>
      <c r="BK27" s="287"/>
      <c r="BL27" s="287"/>
      <c r="BM27" s="287"/>
      <c r="BN27" s="287">
        <v>20</v>
      </c>
      <c r="BO27" s="287"/>
      <c r="BP27" s="287"/>
      <c r="BQ27" s="287"/>
      <c r="BR27" s="287"/>
      <c r="BS27" s="287"/>
      <c r="BT27" s="287"/>
      <c r="BU27" s="287">
        <v>20</v>
      </c>
      <c r="BV27" s="287"/>
      <c r="BW27" s="287"/>
      <c r="BX27" s="286"/>
      <c r="BY27" s="289"/>
      <c r="BZ27" s="289">
        <v>20</v>
      </c>
      <c r="CA27" s="289"/>
      <c r="CB27" s="289"/>
      <c r="CC27" s="289"/>
      <c r="CD27" s="289"/>
      <c r="CE27" s="289"/>
      <c r="CF27" s="289"/>
      <c r="CG27" s="287">
        <v>20</v>
      </c>
      <c r="CH27" s="287"/>
      <c r="CI27" s="287"/>
      <c r="CJ27" s="287"/>
      <c r="CK27" s="287"/>
      <c r="CL27" s="287">
        <v>20</v>
      </c>
      <c r="CM27" s="287"/>
      <c r="CN27" s="287"/>
      <c r="CO27" s="287"/>
      <c r="CP27" s="287"/>
      <c r="CQ27" s="287">
        <v>20</v>
      </c>
      <c r="CR27" s="287"/>
      <c r="CS27" s="289">
        <v>17</v>
      </c>
      <c r="CT27" s="6"/>
      <c r="CU27" s="6"/>
      <c r="CV27" s="6"/>
      <c r="CW27" s="6"/>
      <c r="CX27" s="6"/>
      <c r="CY27" s="6"/>
      <c r="CZ27" s="6"/>
      <c r="DA27" s="343">
        <f t="shared" si="0"/>
        <v>8.89</v>
      </c>
      <c r="DH27" s="238">
        <v>30</v>
      </c>
    </row>
    <row r="28" spans="1:112" ht="20" customHeight="1" x14ac:dyDescent="0.35">
      <c r="A28" s="290" t="s">
        <v>2231</v>
      </c>
      <c r="B28" s="270" t="s">
        <v>2167</v>
      </c>
      <c r="C28" s="270" t="s">
        <v>637</v>
      </c>
      <c r="D28" s="297" t="s">
        <v>513</v>
      </c>
      <c r="E28" s="270" t="s">
        <v>54</v>
      </c>
      <c r="F28" s="270" t="s">
        <v>2168</v>
      </c>
      <c r="G28" s="270" t="s">
        <v>138</v>
      </c>
      <c r="H28" s="298">
        <v>8.89</v>
      </c>
      <c r="I28" s="292"/>
      <c r="J28" s="286"/>
      <c r="K28" s="286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286"/>
      <c r="AG28" s="286"/>
      <c r="AH28" s="286"/>
      <c r="AI28" s="286"/>
      <c r="AJ28" s="286"/>
      <c r="AK28" s="295"/>
      <c r="AL28" s="288"/>
      <c r="AM28" s="287"/>
      <c r="AN28" s="287"/>
      <c r="AO28" s="287"/>
      <c r="AP28" s="286"/>
      <c r="AQ28" s="296"/>
      <c r="AR28" s="286"/>
      <c r="AS28" s="286"/>
      <c r="AT28" s="286"/>
      <c r="AU28" s="286"/>
      <c r="AV28" s="286"/>
      <c r="AW28" s="286"/>
      <c r="AX28" s="286"/>
      <c r="AY28" s="286"/>
      <c r="AZ28" s="286"/>
      <c r="BA28" s="286"/>
      <c r="BB28" s="286"/>
      <c r="BC28" s="286"/>
      <c r="BD28" s="287"/>
      <c r="BE28" s="287"/>
      <c r="BF28" s="287"/>
      <c r="BG28" s="288"/>
      <c r="BH28" s="287"/>
      <c r="BI28" s="287"/>
      <c r="BJ28" s="287"/>
      <c r="BK28" s="287"/>
      <c r="BL28" s="287"/>
      <c r="BM28" s="287"/>
      <c r="BN28" s="287"/>
      <c r="BO28" s="287"/>
      <c r="BP28" s="287"/>
      <c r="BQ28" s="287"/>
      <c r="BR28" s="287"/>
      <c r="BS28" s="287"/>
      <c r="BT28" s="287"/>
      <c r="BU28" s="287"/>
      <c r="BV28" s="287"/>
      <c r="BW28" s="287"/>
      <c r="BX28" s="286"/>
      <c r="BY28" s="289"/>
      <c r="BZ28" s="289"/>
      <c r="CA28" s="289"/>
      <c r="CB28" s="289"/>
      <c r="CC28" s="289"/>
      <c r="CD28" s="289"/>
      <c r="CE28" s="289"/>
      <c r="CF28" s="289"/>
      <c r="CG28" s="287"/>
      <c r="CH28" s="287"/>
      <c r="CI28" s="287"/>
      <c r="CJ28" s="287"/>
      <c r="CK28" s="287"/>
      <c r="CL28" s="287"/>
      <c r="CM28" s="287"/>
      <c r="CN28" s="287"/>
      <c r="CO28" s="287"/>
      <c r="CP28" s="287"/>
      <c r="CQ28" s="287">
        <v>20</v>
      </c>
      <c r="CR28" s="287"/>
      <c r="CS28" s="289"/>
      <c r="CT28" s="6"/>
      <c r="CU28" s="6"/>
      <c r="CV28" s="6"/>
      <c r="CW28" s="6"/>
      <c r="CX28" s="6"/>
      <c r="CY28" s="6"/>
      <c r="CZ28" s="6"/>
      <c r="DA28" s="343"/>
      <c r="DH28" s="238"/>
    </row>
    <row r="29" spans="1:112" ht="20" customHeight="1" x14ac:dyDescent="0.35">
      <c r="A29" s="290"/>
      <c r="B29" s="270" t="s">
        <v>2187</v>
      </c>
      <c r="C29" s="270" t="s">
        <v>637</v>
      </c>
      <c r="D29" s="297" t="s">
        <v>513</v>
      </c>
      <c r="E29" s="270" t="s">
        <v>54</v>
      </c>
      <c r="F29" s="270" t="s">
        <v>2148</v>
      </c>
      <c r="G29" s="270" t="s">
        <v>138</v>
      </c>
      <c r="H29" s="298">
        <v>8.89</v>
      </c>
      <c r="I29" s="292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  <c r="AI29" s="286"/>
      <c r="AJ29" s="286"/>
      <c r="AK29" s="295"/>
      <c r="AL29" s="288"/>
      <c r="AM29" s="287"/>
      <c r="AN29" s="287"/>
      <c r="AO29" s="287"/>
      <c r="AP29" s="286"/>
      <c r="AQ29" s="296"/>
      <c r="AR29" s="286"/>
      <c r="AS29" s="286"/>
      <c r="AT29" s="286"/>
      <c r="AU29" s="286"/>
      <c r="AV29" s="286"/>
      <c r="AW29" s="286"/>
      <c r="AX29" s="286"/>
      <c r="AY29" s="286"/>
      <c r="AZ29" s="286"/>
      <c r="BA29" s="286"/>
      <c r="BB29" s="286"/>
      <c r="BC29" s="286"/>
      <c r="BD29" s="287"/>
      <c r="BE29" s="287"/>
      <c r="BF29" s="287"/>
      <c r="BG29" s="288"/>
      <c r="BH29" s="287"/>
      <c r="BI29" s="287"/>
      <c r="BJ29" s="287"/>
      <c r="BK29" s="287"/>
      <c r="BL29" s="287"/>
      <c r="BM29" s="287"/>
      <c r="BN29" s="287"/>
      <c r="BO29" s="287"/>
      <c r="BP29" s="287"/>
      <c r="BQ29" s="287"/>
      <c r="BR29" s="287"/>
      <c r="BS29" s="287"/>
      <c r="BT29" s="287"/>
      <c r="BU29" s="287"/>
      <c r="BV29" s="287"/>
      <c r="BW29" s="287"/>
      <c r="BX29" s="286"/>
      <c r="BY29" s="289"/>
      <c r="BZ29" s="289"/>
      <c r="CA29" s="289"/>
      <c r="CB29" s="289"/>
      <c r="CC29" s="289"/>
      <c r="CD29" s="289"/>
      <c r="CE29" s="289"/>
      <c r="CF29" s="289"/>
      <c r="CG29" s="287"/>
      <c r="CH29" s="287"/>
      <c r="CI29" s="287"/>
      <c r="CJ29" s="287"/>
      <c r="CK29" s="287"/>
      <c r="CL29" s="287"/>
      <c r="CM29" s="287"/>
      <c r="CN29" s="287"/>
      <c r="CO29" s="287"/>
      <c r="CP29" s="287"/>
      <c r="CQ29" s="287"/>
      <c r="CR29" s="287">
        <v>19</v>
      </c>
      <c r="CS29" s="289">
        <v>17</v>
      </c>
      <c r="CT29" s="6"/>
      <c r="CU29" s="6"/>
      <c r="CV29" s="6"/>
      <c r="CW29" s="6"/>
      <c r="CX29" s="6"/>
      <c r="CY29" s="6"/>
      <c r="CZ29" s="6"/>
      <c r="DA29" s="343">
        <f t="shared" ref="DA29" si="1">H29</f>
        <v>8.89</v>
      </c>
      <c r="DH29" s="238">
        <v>30</v>
      </c>
    </row>
    <row r="30" spans="1:112" ht="20" customHeight="1" x14ac:dyDescent="0.35">
      <c r="A30" s="301"/>
      <c r="B30" s="270" t="s">
        <v>716</v>
      </c>
      <c r="C30" s="270" t="s">
        <v>1555</v>
      </c>
      <c r="D30" s="297" t="s">
        <v>513</v>
      </c>
      <c r="E30" s="270" t="s">
        <v>54</v>
      </c>
      <c r="F30" s="270" t="s">
        <v>2156</v>
      </c>
      <c r="G30" s="270" t="s">
        <v>138</v>
      </c>
      <c r="H30" s="298">
        <v>10.119999999999999</v>
      </c>
      <c r="I30" s="286">
        <v>0</v>
      </c>
      <c r="J30" s="286"/>
      <c r="K30" s="286"/>
      <c r="L30" s="286"/>
      <c r="M30" s="286"/>
      <c r="N30" s="286"/>
      <c r="O30" s="286">
        <v>0</v>
      </c>
      <c r="P30" s="286">
        <v>0</v>
      </c>
      <c r="Q30" s="286"/>
      <c r="R30" s="286"/>
      <c r="S30" s="286"/>
      <c r="T30" s="286"/>
      <c r="U30" s="286"/>
      <c r="V30" s="286"/>
      <c r="W30" s="286"/>
      <c r="X30" s="286"/>
      <c r="Y30" s="286">
        <v>24</v>
      </c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7"/>
      <c r="AL30" s="288"/>
      <c r="AM30" s="287"/>
      <c r="AN30" s="287"/>
      <c r="AO30" s="287"/>
      <c r="AP30" s="286"/>
      <c r="AQ30" s="296"/>
      <c r="AR30" s="286"/>
      <c r="AS30" s="286"/>
      <c r="AT30" s="286"/>
      <c r="AU30" s="286"/>
      <c r="AV30" s="286"/>
      <c r="AW30" s="286"/>
      <c r="AX30" s="286"/>
      <c r="AY30" s="286"/>
      <c r="AZ30" s="286"/>
      <c r="BA30" s="286"/>
      <c r="BB30" s="286"/>
      <c r="BC30" s="286"/>
      <c r="BD30" s="287"/>
      <c r="BE30" s="287"/>
      <c r="BF30" s="287"/>
      <c r="BG30" s="287"/>
      <c r="BH30" s="287"/>
      <c r="BI30" s="287"/>
      <c r="BJ30" s="287"/>
      <c r="BK30" s="287"/>
      <c r="BL30" s="287"/>
      <c r="BM30" s="287"/>
      <c r="BN30" s="287"/>
      <c r="BO30" s="287"/>
      <c r="BP30" s="287"/>
      <c r="BQ30" s="287"/>
      <c r="BR30" s="287"/>
      <c r="BS30" s="287"/>
      <c r="BT30" s="287"/>
      <c r="BU30" s="287"/>
      <c r="BV30" s="287"/>
      <c r="BW30" s="287"/>
      <c r="BX30" s="286"/>
      <c r="BY30" s="289"/>
      <c r="BZ30" s="289"/>
      <c r="CA30" s="289"/>
      <c r="CB30" s="289"/>
      <c r="CC30" s="289"/>
      <c r="CD30" s="289"/>
      <c r="CE30" s="289"/>
      <c r="CF30" s="289"/>
      <c r="CG30" s="287"/>
      <c r="CH30" s="287"/>
      <c r="CI30" s="287"/>
      <c r="CJ30" s="287"/>
      <c r="CK30" s="287"/>
      <c r="CL30" s="287"/>
      <c r="CM30" s="287"/>
      <c r="CN30" s="287"/>
      <c r="CO30" s="287"/>
      <c r="CP30" s="287"/>
      <c r="CQ30" s="287"/>
      <c r="CR30" s="287"/>
      <c r="CS30" s="6"/>
      <c r="CT30" s="6"/>
      <c r="CU30" s="6"/>
      <c r="CV30" s="6"/>
      <c r="CW30" s="6"/>
      <c r="CX30" s="6"/>
      <c r="CY30" s="6"/>
      <c r="CZ30" s="6"/>
      <c r="DA30" s="343">
        <f t="shared" si="0"/>
        <v>10.119999999999999</v>
      </c>
      <c r="DH30" s="238">
        <v>32</v>
      </c>
    </row>
    <row r="31" spans="1:112" ht="20" customHeight="1" x14ac:dyDescent="0.35">
      <c r="A31" s="290">
        <v>520735</v>
      </c>
      <c r="B31" s="270" t="s">
        <v>717</v>
      </c>
      <c r="C31" s="270" t="s">
        <v>1715</v>
      </c>
      <c r="D31" s="297" t="s">
        <v>630</v>
      </c>
      <c r="E31" s="270" t="s">
        <v>54</v>
      </c>
      <c r="F31" s="270" t="s">
        <v>1570</v>
      </c>
      <c r="G31" s="270" t="s">
        <v>35</v>
      </c>
      <c r="H31" s="298">
        <f>18/20</f>
        <v>0.9</v>
      </c>
      <c r="I31" s="292">
        <v>12</v>
      </c>
      <c r="J31" s="292">
        <v>10</v>
      </c>
      <c r="K31" s="286"/>
      <c r="L31" s="286"/>
      <c r="M31" s="286"/>
      <c r="N31" s="286"/>
      <c r="O31" s="286"/>
      <c r="P31" s="292">
        <v>10</v>
      </c>
      <c r="Q31" s="286">
        <v>12</v>
      </c>
      <c r="R31" s="286"/>
      <c r="S31" s="286">
        <v>12</v>
      </c>
      <c r="T31" s="286">
        <v>10</v>
      </c>
      <c r="U31" s="286"/>
      <c r="V31" s="294"/>
      <c r="W31" s="286"/>
      <c r="X31" s="286"/>
      <c r="Y31" s="286"/>
      <c r="Z31" s="286"/>
      <c r="AA31" s="286"/>
      <c r="AB31" s="286"/>
      <c r="AC31" s="286"/>
      <c r="AD31" s="286"/>
      <c r="AE31" s="286"/>
      <c r="AF31" s="286"/>
      <c r="AG31" s="286"/>
      <c r="AH31" s="286"/>
      <c r="AI31" s="286">
        <v>10</v>
      </c>
      <c r="AJ31" s="286"/>
      <c r="AK31" s="295">
        <v>12</v>
      </c>
      <c r="AL31" s="288">
        <v>10</v>
      </c>
      <c r="AM31" s="287">
        <v>10</v>
      </c>
      <c r="AN31" s="287"/>
      <c r="AO31" s="286">
        <v>10</v>
      </c>
      <c r="AP31" s="286">
        <v>10</v>
      </c>
      <c r="AQ31" s="296">
        <v>14</v>
      </c>
      <c r="AR31" s="286">
        <v>10</v>
      </c>
      <c r="AS31" s="286"/>
      <c r="AT31" s="286">
        <v>10</v>
      </c>
      <c r="AU31" s="286">
        <v>10</v>
      </c>
      <c r="AV31" s="286">
        <v>10</v>
      </c>
      <c r="AW31" s="286">
        <v>10</v>
      </c>
      <c r="AX31" s="286">
        <v>10</v>
      </c>
      <c r="AY31" s="286">
        <v>10</v>
      </c>
      <c r="AZ31" s="286">
        <v>10</v>
      </c>
      <c r="BA31" s="286">
        <v>10</v>
      </c>
      <c r="BB31" s="286">
        <f>BA31</f>
        <v>10</v>
      </c>
      <c r="BC31" s="286">
        <v>10</v>
      </c>
      <c r="BD31" s="287"/>
      <c r="BE31" s="287"/>
      <c r="BF31" s="287"/>
      <c r="BG31" s="288">
        <v>12</v>
      </c>
      <c r="BH31" s="287"/>
      <c r="BI31" s="287"/>
      <c r="BJ31" s="287"/>
      <c r="BK31" s="299">
        <v>12</v>
      </c>
      <c r="BL31" s="287"/>
      <c r="BM31" s="287"/>
      <c r="BN31" s="287"/>
      <c r="BO31" s="287"/>
      <c r="BP31" s="287"/>
      <c r="BQ31" s="287"/>
      <c r="BR31" s="287"/>
      <c r="BS31" s="287"/>
      <c r="BT31" s="287"/>
      <c r="BU31" s="287">
        <v>10</v>
      </c>
      <c r="BV31" s="287"/>
      <c r="BW31" s="287"/>
      <c r="BX31" s="286">
        <v>10</v>
      </c>
      <c r="BY31" s="289"/>
      <c r="BZ31" s="289"/>
      <c r="CA31" s="289"/>
      <c r="CB31" s="289"/>
      <c r="CC31" s="289"/>
      <c r="CD31" s="289"/>
      <c r="CE31" s="289"/>
      <c r="CF31" s="289"/>
      <c r="CG31" s="287"/>
      <c r="CH31" s="287"/>
      <c r="CI31" s="287"/>
      <c r="CJ31" s="287"/>
      <c r="CK31" s="287"/>
      <c r="CL31" s="287">
        <v>15</v>
      </c>
      <c r="CM31" s="287"/>
      <c r="CN31" s="292">
        <v>10</v>
      </c>
      <c r="CO31" s="292">
        <v>10</v>
      </c>
      <c r="CP31" s="287"/>
      <c r="CQ31" s="287">
        <v>12</v>
      </c>
      <c r="CR31" s="287">
        <v>13</v>
      </c>
      <c r="CS31" s="296">
        <v>8</v>
      </c>
      <c r="CT31" s="6"/>
      <c r="CU31" s="6"/>
      <c r="CV31" s="6"/>
      <c r="CW31" s="6"/>
      <c r="CX31" s="6"/>
      <c r="CY31" s="6"/>
      <c r="CZ31" s="6"/>
      <c r="DA31" s="343">
        <f t="shared" si="0"/>
        <v>0.9</v>
      </c>
      <c r="DH31" s="238">
        <v>33</v>
      </c>
    </row>
    <row r="32" spans="1:112" ht="20" customHeight="1" x14ac:dyDescent="0.35">
      <c r="A32" s="290" t="s">
        <v>2229</v>
      </c>
      <c r="B32" s="270" t="s">
        <v>718</v>
      </c>
      <c r="C32" s="270" t="s">
        <v>1565</v>
      </c>
      <c r="D32" s="270" t="s">
        <v>513</v>
      </c>
      <c r="E32" s="270" t="s">
        <v>719</v>
      </c>
      <c r="F32" s="270" t="s">
        <v>1567</v>
      </c>
      <c r="G32" s="270" t="s">
        <v>39</v>
      </c>
      <c r="H32" s="298">
        <v>1.92</v>
      </c>
      <c r="I32" s="292"/>
      <c r="J32" s="286"/>
      <c r="K32" s="286"/>
      <c r="L32" s="286"/>
      <c r="M32" s="286"/>
      <c r="N32" s="286"/>
      <c r="O32" s="286"/>
      <c r="P32" s="286"/>
      <c r="Q32" s="286">
        <v>2.4</v>
      </c>
      <c r="R32" s="286"/>
      <c r="S32" s="286"/>
      <c r="T32" s="286"/>
      <c r="U32" s="286"/>
      <c r="V32" s="294"/>
      <c r="W32" s="286"/>
      <c r="X32" s="286"/>
      <c r="Y32" s="286"/>
      <c r="Z32" s="286"/>
      <c r="AA32" s="286"/>
      <c r="AB32" s="286"/>
      <c r="AC32" s="286"/>
      <c r="AD32" s="286"/>
      <c r="AE32" s="286"/>
      <c r="AF32" s="286"/>
      <c r="AG32" s="286"/>
      <c r="AH32" s="286"/>
      <c r="AI32" s="286"/>
      <c r="AJ32" s="286"/>
      <c r="AK32" s="287"/>
      <c r="AL32" s="288"/>
      <c r="AM32" s="287"/>
      <c r="AN32" s="287"/>
      <c r="AO32" s="286"/>
      <c r="AP32" s="286"/>
      <c r="AQ32" s="296">
        <v>2.4</v>
      </c>
      <c r="AR32" s="286"/>
      <c r="AS32" s="286"/>
      <c r="AT32" s="286"/>
      <c r="AU32" s="286"/>
      <c r="AV32" s="286"/>
      <c r="AW32" s="286"/>
      <c r="AX32" s="286"/>
      <c r="AY32" s="286"/>
      <c r="AZ32" s="286"/>
      <c r="BA32" s="286"/>
      <c r="BB32" s="286"/>
      <c r="BC32" s="286"/>
      <c r="BD32" s="287"/>
      <c r="BE32" s="287"/>
      <c r="BF32" s="287"/>
      <c r="BG32" s="288">
        <v>2.4</v>
      </c>
      <c r="BH32" s="287"/>
      <c r="BI32" s="287"/>
      <c r="BJ32" s="287"/>
      <c r="BK32" s="287"/>
      <c r="BL32" s="287"/>
      <c r="BM32" s="287"/>
      <c r="BN32" s="287"/>
      <c r="BO32" s="287"/>
      <c r="BP32" s="287"/>
      <c r="BQ32" s="287"/>
      <c r="BR32" s="287"/>
      <c r="BS32" s="287"/>
      <c r="BT32" s="287"/>
      <c r="BU32" s="287">
        <v>2.2999999999999998</v>
      </c>
      <c r="BV32" s="287"/>
      <c r="BW32" s="287"/>
      <c r="BX32" s="286"/>
      <c r="BY32" s="289"/>
      <c r="BZ32" s="289"/>
      <c r="CA32" s="289"/>
      <c r="CB32" s="289"/>
      <c r="CC32" s="289"/>
      <c r="CD32" s="289"/>
      <c r="CE32" s="289"/>
      <c r="CF32" s="289"/>
      <c r="CG32" s="287"/>
      <c r="CH32" s="287"/>
      <c r="CI32" s="287"/>
      <c r="CJ32" s="287"/>
      <c r="CK32" s="287"/>
      <c r="CL32" s="287"/>
      <c r="CM32" s="287"/>
      <c r="CN32" s="287"/>
      <c r="CO32" s="287"/>
      <c r="CP32" s="287"/>
      <c r="CQ32" s="287">
        <v>2.2000000000000002</v>
      </c>
      <c r="CR32" s="287">
        <v>2.4</v>
      </c>
      <c r="CS32" s="281">
        <v>6</v>
      </c>
      <c r="CT32" s="6"/>
      <c r="CU32" s="6"/>
      <c r="CV32" s="6"/>
      <c r="CW32" s="6"/>
      <c r="CX32" s="6"/>
      <c r="CY32" s="6"/>
      <c r="CZ32" s="6"/>
      <c r="DA32" s="343">
        <f t="shared" si="0"/>
        <v>1.92</v>
      </c>
      <c r="DH32" s="238">
        <v>35</v>
      </c>
    </row>
    <row r="33" spans="1:112" ht="20" customHeight="1" x14ac:dyDescent="0.35">
      <c r="A33" s="290" t="s">
        <v>2228</v>
      </c>
      <c r="B33" s="270" t="s">
        <v>720</v>
      </c>
      <c r="C33" s="270" t="s">
        <v>1564</v>
      </c>
      <c r="D33" s="270" t="s">
        <v>513</v>
      </c>
      <c r="E33" s="270" t="s">
        <v>719</v>
      </c>
      <c r="F33" s="270" t="s">
        <v>1567</v>
      </c>
      <c r="G33" s="270" t="s">
        <v>39</v>
      </c>
      <c r="H33" s="298">
        <v>1.92</v>
      </c>
      <c r="I33" s="292"/>
      <c r="J33" s="286"/>
      <c r="K33" s="286"/>
      <c r="L33" s="286"/>
      <c r="M33" s="286"/>
      <c r="N33" s="286"/>
      <c r="O33" s="286"/>
      <c r="P33" s="286"/>
      <c r="Q33" s="286">
        <v>2.4</v>
      </c>
      <c r="R33" s="286"/>
      <c r="S33" s="286"/>
      <c r="T33" s="286"/>
      <c r="U33" s="286"/>
      <c r="V33" s="294"/>
      <c r="W33" s="286"/>
      <c r="X33" s="286"/>
      <c r="Y33" s="286"/>
      <c r="Z33" s="286"/>
      <c r="AA33" s="286"/>
      <c r="AB33" s="286"/>
      <c r="AC33" s="286"/>
      <c r="AD33" s="286"/>
      <c r="AE33" s="286"/>
      <c r="AF33" s="286"/>
      <c r="AG33" s="286"/>
      <c r="AH33" s="286"/>
      <c r="AI33" s="286"/>
      <c r="AJ33" s="286"/>
      <c r="AK33" s="287"/>
      <c r="AL33" s="288"/>
      <c r="AM33" s="287"/>
      <c r="AN33" s="287"/>
      <c r="AO33" s="286"/>
      <c r="AP33" s="286"/>
      <c r="AQ33" s="296">
        <v>2.4</v>
      </c>
      <c r="AR33" s="286"/>
      <c r="AS33" s="286"/>
      <c r="AT33" s="286"/>
      <c r="AU33" s="286"/>
      <c r="AV33" s="286"/>
      <c r="AW33" s="286"/>
      <c r="AX33" s="286"/>
      <c r="AY33" s="286"/>
      <c r="AZ33" s="286"/>
      <c r="BA33" s="286"/>
      <c r="BB33" s="286"/>
      <c r="BC33" s="286"/>
      <c r="BD33" s="287"/>
      <c r="BE33" s="287"/>
      <c r="BF33" s="287"/>
      <c r="BG33" s="288">
        <v>2.4</v>
      </c>
      <c r="BH33" s="287"/>
      <c r="BI33" s="287"/>
      <c r="BJ33" s="287"/>
      <c r="BK33" s="287"/>
      <c r="BL33" s="287"/>
      <c r="BM33" s="287"/>
      <c r="BN33" s="287"/>
      <c r="BO33" s="287"/>
      <c r="BP33" s="287"/>
      <c r="BQ33" s="287"/>
      <c r="BR33" s="287"/>
      <c r="BS33" s="287"/>
      <c r="BT33" s="287"/>
      <c r="BU33" s="287">
        <v>2.2999999999999998</v>
      </c>
      <c r="BV33" s="287"/>
      <c r="BW33" s="287"/>
      <c r="BX33" s="286"/>
      <c r="BY33" s="289"/>
      <c r="BZ33" s="289"/>
      <c r="CA33" s="289"/>
      <c r="CB33" s="289"/>
      <c r="CC33" s="289"/>
      <c r="CD33" s="289"/>
      <c r="CE33" s="289"/>
      <c r="CF33" s="289"/>
      <c r="CG33" s="287"/>
      <c r="CH33" s="287"/>
      <c r="CI33" s="287"/>
      <c r="CJ33" s="287"/>
      <c r="CK33" s="287"/>
      <c r="CL33" s="287"/>
      <c r="CM33" s="287"/>
      <c r="CN33" s="287"/>
      <c r="CO33" s="287"/>
      <c r="CP33" s="287"/>
      <c r="CQ33" s="287">
        <v>2.2000000000000002</v>
      </c>
      <c r="CR33" s="287">
        <v>2.4</v>
      </c>
      <c r="CS33" s="292">
        <v>7</v>
      </c>
      <c r="CT33" s="6"/>
      <c r="CU33" s="6"/>
      <c r="CV33" s="6"/>
      <c r="CW33" s="6"/>
      <c r="CX33" s="6"/>
      <c r="CY33" s="6"/>
      <c r="CZ33" s="6"/>
      <c r="DA33" s="343">
        <f t="shared" si="0"/>
        <v>1.92</v>
      </c>
      <c r="DH33" s="238">
        <v>14</v>
      </c>
    </row>
    <row r="34" spans="1:112" ht="20" customHeight="1" x14ac:dyDescent="0.35">
      <c r="A34" s="290"/>
      <c r="B34" s="270" t="s">
        <v>721</v>
      </c>
      <c r="C34" s="270" t="s">
        <v>722</v>
      </c>
      <c r="D34" s="270" t="s">
        <v>513</v>
      </c>
      <c r="E34" s="270" t="s">
        <v>719</v>
      </c>
      <c r="F34" s="270" t="s">
        <v>1567</v>
      </c>
      <c r="G34" s="270" t="s">
        <v>39</v>
      </c>
      <c r="H34" s="298">
        <v>1.92</v>
      </c>
      <c r="I34" s="292"/>
      <c r="J34" s="286"/>
      <c r="K34" s="286"/>
      <c r="L34" s="286"/>
      <c r="M34" s="286"/>
      <c r="N34" s="286"/>
      <c r="O34" s="286"/>
      <c r="P34" s="286"/>
      <c r="Q34" s="286"/>
      <c r="R34" s="286"/>
      <c r="S34" s="286"/>
      <c r="T34" s="286"/>
      <c r="U34" s="286"/>
      <c r="V34" s="294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7"/>
      <c r="AL34" s="288"/>
      <c r="AM34" s="287"/>
      <c r="AN34" s="287"/>
      <c r="AO34" s="286"/>
      <c r="AP34" s="286"/>
      <c r="AQ34" s="296"/>
      <c r="AR34" s="286"/>
      <c r="AS34" s="286"/>
      <c r="AT34" s="286"/>
      <c r="AU34" s="286"/>
      <c r="AV34" s="286"/>
      <c r="AW34" s="286"/>
      <c r="AX34" s="286"/>
      <c r="AY34" s="286"/>
      <c r="AZ34" s="286"/>
      <c r="BA34" s="286"/>
      <c r="BB34" s="286"/>
      <c r="BC34" s="286"/>
      <c r="BD34" s="287"/>
      <c r="BE34" s="287"/>
      <c r="BF34" s="287"/>
      <c r="BG34" s="288">
        <v>2.4</v>
      </c>
      <c r="BH34" s="287"/>
      <c r="BI34" s="287"/>
      <c r="BJ34" s="287"/>
      <c r="BK34" s="287"/>
      <c r="BL34" s="287"/>
      <c r="BM34" s="287"/>
      <c r="BN34" s="287"/>
      <c r="BO34" s="287"/>
      <c r="BP34" s="287"/>
      <c r="BQ34" s="287"/>
      <c r="BR34" s="287"/>
      <c r="BS34" s="287"/>
      <c r="BT34" s="287"/>
      <c r="BU34" s="287">
        <v>2.2999999999999998</v>
      </c>
      <c r="BV34" s="287"/>
      <c r="BW34" s="287"/>
      <c r="BX34" s="286"/>
      <c r="BY34" s="289"/>
      <c r="BZ34" s="289"/>
      <c r="CA34" s="289"/>
      <c r="CB34" s="289"/>
      <c r="CC34" s="289"/>
      <c r="CD34" s="289"/>
      <c r="CE34" s="289"/>
      <c r="CF34" s="289"/>
      <c r="CG34" s="287"/>
      <c r="CH34" s="287"/>
      <c r="CI34" s="287"/>
      <c r="CJ34" s="287"/>
      <c r="CK34" s="287"/>
      <c r="CL34" s="287"/>
      <c r="CM34" s="287"/>
      <c r="CN34" s="287"/>
      <c r="CO34" s="287"/>
      <c r="CP34" s="287"/>
      <c r="CQ34" s="287"/>
      <c r="CR34" s="287"/>
      <c r="CS34" s="292">
        <v>6</v>
      </c>
      <c r="CT34" s="6"/>
      <c r="CU34" s="6"/>
      <c r="CV34" s="6"/>
      <c r="CW34" s="6"/>
      <c r="CX34" s="6"/>
      <c r="CY34" s="6"/>
      <c r="CZ34" s="6"/>
      <c r="DA34" s="343">
        <f t="shared" si="0"/>
        <v>1.92</v>
      </c>
      <c r="DH34" s="238">
        <v>13</v>
      </c>
    </row>
    <row r="35" spans="1:112" ht="20" customHeight="1" x14ac:dyDescent="0.35">
      <c r="A35" s="301"/>
      <c r="B35" s="270" t="s">
        <v>723</v>
      </c>
      <c r="C35" s="270" t="s">
        <v>616</v>
      </c>
      <c r="D35" s="270" t="s">
        <v>604</v>
      </c>
      <c r="E35" s="270" t="s">
        <v>34</v>
      </c>
      <c r="F35" s="270" t="s">
        <v>1568</v>
      </c>
      <c r="G35" s="270" t="s">
        <v>39</v>
      </c>
      <c r="H35" s="298">
        <v>0.4</v>
      </c>
      <c r="I35" s="286"/>
      <c r="J35" s="286"/>
      <c r="K35" s="286"/>
      <c r="L35" s="286"/>
      <c r="M35" s="286"/>
      <c r="N35" s="286"/>
      <c r="O35" s="286"/>
      <c r="P35" s="286"/>
      <c r="Q35" s="286"/>
      <c r="R35" s="286"/>
      <c r="S35" s="286"/>
      <c r="T35" s="286"/>
      <c r="U35" s="286"/>
      <c r="V35" s="294"/>
      <c r="W35" s="286"/>
      <c r="X35" s="286"/>
      <c r="Y35" s="286"/>
      <c r="Z35" s="286"/>
      <c r="AA35" s="286"/>
      <c r="AB35" s="286"/>
      <c r="AC35" s="286"/>
      <c r="AD35" s="286"/>
      <c r="AE35" s="286"/>
      <c r="AF35" s="286"/>
      <c r="AG35" s="286"/>
      <c r="AH35" s="286"/>
      <c r="AI35" s="286"/>
      <c r="AJ35" s="286"/>
      <c r="AK35" s="287"/>
      <c r="AL35" s="288"/>
      <c r="AM35" s="287"/>
      <c r="AN35" s="287"/>
      <c r="AO35" s="287"/>
      <c r="AP35" s="286"/>
      <c r="AQ35" s="296"/>
      <c r="AR35" s="286"/>
      <c r="AS35" s="286"/>
      <c r="AT35" s="286"/>
      <c r="AU35" s="286"/>
      <c r="AV35" s="286"/>
      <c r="AW35" s="286"/>
      <c r="AX35" s="286"/>
      <c r="AY35" s="286"/>
      <c r="AZ35" s="286"/>
      <c r="BA35" s="286"/>
      <c r="BB35" s="286"/>
      <c r="BC35" s="286"/>
      <c r="BD35" s="287"/>
      <c r="BE35" s="287"/>
      <c r="BF35" s="287"/>
      <c r="BG35" s="287"/>
      <c r="BH35" s="287"/>
      <c r="BI35" s="287"/>
      <c r="BJ35" s="287"/>
      <c r="BK35" s="287"/>
      <c r="BL35" s="287"/>
      <c r="BM35" s="287"/>
      <c r="BN35" s="287"/>
      <c r="BO35" s="287"/>
      <c r="BP35" s="287"/>
      <c r="BQ35" s="287"/>
      <c r="BR35" s="287"/>
      <c r="BS35" s="287"/>
      <c r="BT35" s="287"/>
      <c r="BU35" s="287"/>
      <c r="BV35" s="287"/>
      <c r="BW35" s="287"/>
      <c r="BX35" s="286"/>
      <c r="BY35" s="289"/>
      <c r="BZ35" s="289"/>
      <c r="CA35" s="289"/>
      <c r="CB35" s="289"/>
      <c r="CC35" s="289"/>
      <c r="CD35" s="289"/>
      <c r="CE35" s="289"/>
      <c r="CF35" s="289"/>
      <c r="CG35" s="287"/>
      <c r="CH35" s="287"/>
      <c r="CI35" s="287"/>
      <c r="CJ35" s="287"/>
      <c r="CK35" s="287"/>
      <c r="CL35" s="287"/>
      <c r="CM35" s="287"/>
      <c r="CN35" s="287"/>
      <c r="CO35" s="287"/>
      <c r="CP35" s="287"/>
      <c r="CQ35" s="287"/>
      <c r="CR35" s="287"/>
      <c r="CS35" s="304">
        <v>7.5</v>
      </c>
      <c r="CT35" s="6"/>
      <c r="CU35" s="6"/>
      <c r="CV35" s="6"/>
      <c r="CW35" s="6"/>
      <c r="CX35" s="6"/>
      <c r="CY35" s="6"/>
      <c r="CZ35" s="6"/>
      <c r="DA35" s="343">
        <f t="shared" si="0"/>
        <v>0.4</v>
      </c>
      <c r="DH35" s="238">
        <v>24</v>
      </c>
    </row>
    <row r="36" spans="1:112" ht="20" customHeight="1" x14ac:dyDescent="0.35">
      <c r="A36" s="301"/>
      <c r="B36" s="270" t="s">
        <v>724</v>
      </c>
      <c r="C36" s="270" t="s">
        <v>617</v>
      </c>
      <c r="D36" s="270" t="s">
        <v>604</v>
      </c>
      <c r="E36" s="270" t="s">
        <v>34</v>
      </c>
      <c r="F36" s="270" t="s">
        <v>1569</v>
      </c>
      <c r="G36" s="270" t="s">
        <v>39</v>
      </c>
      <c r="H36" s="298">
        <v>0.4</v>
      </c>
      <c r="I36" s="286"/>
      <c r="J36" s="286"/>
      <c r="K36" s="286"/>
      <c r="L36" s="286"/>
      <c r="M36" s="286"/>
      <c r="N36" s="286"/>
      <c r="O36" s="286"/>
      <c r="P36" s="286"/>
      <c r="Q36" s="286"/>
      <c r="R36" s="286"/>
      <c r="S36" s="286"/>
      <c r="T36" s="286"/>
      <c r="U36" s="286"/>
      <c r="V36" s="294"/>
      <c r="W36" s="286"/>
      <c r="X36" s="286"/>
      <c r="Y36" s="286"/>
      <c r="Z36" s="286"/>
      <c r="AA36" s="286"/>
      <c r="AB36" s="286"/>
      <c r="AC36" s="286"/>
      <c r="AD36" s="286"/>
      <c r="AE36" s="286"/>
      <c r="AF36" s="286"/>
      <c r="AG36" s="286"/>
      <c r="AH36" s="286"/>
      <c r="AI36" s="286"/>
      <c r="AJ36" s="286"/>
      <c r="AK36" s="287"/>
      <c r="AL36" s="288"/>
      <c r="AM36" s="287"/>
      <c r="AN36" s="287"/>
      <c r="AO36" s="287"/>
      <c r="AP36" s="286"/>
      <c r="AQ36" s="296"/>
      <c r="AR36" s="286"/>
      <c r="AS36" s="286"/>
      <c r="AT36" s="286"/>
      <c r="AU36" s="286"/>
      <c r="AV36" s="286"/>
      <c r="AW36" s="286"/>
      <c r="AX36" s="286"/>
      <c r="AY36" s="286"/>
      <c r="AZ36" s="286"/>
      <c r="BA36" s="286"/>
      <c r="BB36" s="286"/>
      <c r="BC36" s="286"/>
      <c r="BD36" s="287"/>
      <c r="BE36" s="287"/>
      <c r="BF36" s="287"/>
      <c r="BG36" s="288">
        <v>1</v>
      </c>
      <c r="BH36" s="287"/>
      <c r="BI36" s="287"/>
      <c r="BJ36" s="287"/>
      <c r="BK36" s="287"/>
      <c r="BL36" s="287"/>
      <c r="BM36" s="287"/>
      <c r="BN36" s="287"/>
      <c r="BO36" s="287"/>
      <c r="BP36" s="287"/>
      <c r="BQ36" s="287"/>
      <c r="BR36" s="287"/>
      <c r="BS36" s="287"/>
      <c r="BT36" s="287"/>
      <c r="BU36" s="287"/>
      <c r="BV36" s="287"/>
      <c r="BW36" s="287"/>
      <c r="BX36" s="286"/>
      <c r="BY36" s="289"/>
      <c r="BZ36" s="289"/>
      <c r="CA36" s="289"/>
      <c r="CB36" s="289"/>
      <c r="CC36" s="289"/>
      <c r="CD36" s="289"/>
      <c r="CE36" s="289"/>
      <c r="CF36" s="289"/>
      <c r="CG36" s="287"/>
      <c r="CH36" s="287"/>
      <c r="CI36" s="287"/>
      <c r="CJ36" s="287"/>
      <c r="CK36" s="287"/>
      <c r="CL36" s="287"/>
      <c r="CM36" s="287"/>
      <c r="CN36" s="287"/>
      <c r="CO36" s="287"/>
      <c r="CP36" s="287"/>
      <c r="CQ36" s="287"/>
      <c r="CR36" s="287"/>
      <c r="CS36" s="6"/>
      <c r="CT36" s="6"/>
      <c r="CU36" s="6"/>
      <c r="CV36" s="6"/>
      <c r="CW36" s="6"/>
      <c r="CX36" s="6"/>
      <c r="CY36" s="6"/>
      <c r="CZ36" s="6"/>
      <c r="DA36" s="343">
        <f t="shared" si="0"/>
        <v>0.4</v>
      </c>
      <c r="DH36" s="238">
        <v>32</v>
      </c>
    </row>
    <row r="37" spans="1:112" ht="20" customHeight="1" x14ac:dyDescent="0.35">
      <c r="A37" s="301"/>
      <c r="B37" s="270" t="s">
        <v>1050</v>
      </c>
      <c r="C37" s="270" t="s">
        <v>617</v>
      </c>
      <c r="D37" s="270" t="s">
        <v>604</v>
      </c>
      <c r="E37" s="270" t="s">
        <v>34</v>
      </c>
      <c r="F37" s="270" t="s">
        <v>1570</v>
      </c>
      <c r="G37" s="270" t="s">
        <v>39</v>
      </c>
      <c r="H37" s="298">
        <v>4</v>
      </c>
      <c r="I37" s="286"/>
      <c r="J37" s="286"/>
      <c r="K37" s="286"/>
      <c r="L37" s="286"/>
      <c r="M37" s="286"/>
      <c r="N37" s="286"/>
      <c r="O37" s="286"/>
      <c r="P37" s="286"/>
      <c r="Q37" s="286"/>
      <c r="R37" s="286"/>
      <c r="S37" s="286"/>
      <c r="T37" s="286"/>
      <c r="U37" s="286"/>
      <c r="V37" s="294"/>
      <c r="W37" s="286"/>
      <c r="X37" s="286"/>
      <c r="Y37" s="286"/>
      <c r="Z37" s="286"/>
      <c r="AA37" s="286"/>
      <c r="AB37" s="286"/>
      <c r="AC37" s="286"/>
      <c r="AD37" s="286"/>
      <c r="AE37" s="286"/>
      <c r="AF37" s="286"/>
      <c r="AG37" s="286"/>
      <c r="AH37" s="286"/>
      <c r="AI37" s="286"/>
      <c r="AJ37" s="286"/>
      <c r="AK37" s="287"/>
      <c r="AL37" s="288"/>
      <c r="AM37" s="287"/>
      <c r="AN37" s="287"/>
      <c r="AO37" s="287"/>
      <c r="AP37" s="286"/>
      <c r="AQ37" s="296"/>
      <c r="AR37" s="286"/>
      <c r="AS37" s="286"/>
      <c r="AT37" s="286"/>
      <c r="AU37" s="286"/>
      <c r="AV37" s="286"/>
      <c r="AW37" s="286"/>
      <c r="AX37" s="286"/>
      <c r="AY37" s="286"/>
      <c r="AZ37" s="286"/>
      <c r="BA37" s="286"/>
      <c r="BB37" s="286"/>
      <c r="BC37" s="286"/>
      <c r="BD37" s="287"/>
      <c r="BE37" s="287"/>
      <c r="BF37" s="287"/>
      <c r="BG37" s="288">
        <v>10</v>
      </c>
      <c r="BH37" s="287"/>
      <c r="BI37" s="287"/>
      <c r="BJ37" s="287"/>
      <c r="BK37" s="287"/>
      <c r="BL37" s="287"/>
      <c r="BM37" s="287"/>
      <c r="BN37" s="287"/>
      <c r="BO37" s="287"/>
      <c r="BP37" s="287"/>
      <c r="BQ37" s="287"/>
      <c r="BR37" s="287"/>
      <c r="BS37" s="287"/>
      <c r="BT37" s="287"/>
      <c r="BU37" s="287"/>
      <c r="BV37" s="287"/>
      <c r="BW37" s="287"/>
      <c r="BX37" s="286"/>
      <c r="BY37" s="289">
        <v>8</v>
      </c>
      <c r="BZ37" s="289"/>
      <c r="CA37" s="289"/>
      <c r="CB37" s="289"/>
      <c r="CC37" s="289"/>
      <c r="CD37" s="289"/>
      <c r="CE37" s="289"/>
      <c r="CF37" s="289"/>
      <c r="CG37" s="287"/>
      <c r="CH37" s="287"/>
      <c r="CI37" s="287"/>
      <c r="CJ37" s="287"/>
      <c r="CK37" s="287"/>
      <c r="CL37" s="287"/>
      <c r="CM37" s="287"/>
      <c r="CN37" s="287"/>
      <c r="CO37" s="287"/>
      <c r="CP37" s="287"/>
      <c r="CQ37" s="287"/>
      <c r="CR37" s="287"/>
      <c r="CS37" s="6"/>
      <c r="CT37" s="6"/>
      <c r="CU37" s="6"/>
      <c r="CV37" s="6"/>
      <c r="CW37" s="6"/>
      <c r="CX37" s="6"/>
      <c r="CY37" s="6"/>
      <c r="CZ37" s="6"/>
      <c r="DA37" s="343">
        <f t="shared" si="0"/>
        <v>4</v>
      </c>
      <c r="DH37" s="238">
        <v>0.95</v>
      </c>
    </row>
    <row r="38" spans="1:112" ht="20" customHeight="1" x14ac:dyDescent="0.35">
      <c r="A38" s="301"/>
      <c r="B38" s="270" t="s">
        <v>1309</v>
      </c>
      <c r="C38" s="270" t="s">
        <v>1868</v>
      </c>
      <c r="D38" s="270" t="s">
        <v>513</v>
      </c>
      <c r="E38" s="270" t="s">
        <v>34</v>
      </c>
      <c r="F38" s="270" t="s">
        <v>1552</v>
      </c>
      <c r="G38" s="270" t="s">
        <v>31</v>
      </c>
      <c r="H38" s="298">
        <v>4.8</v>
      </c>
      <c r="I38" s="286"/>
      <c r="J38" s="286">
        <v>8.6999999999999993</v>
      </c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94"/>
      <c r="W38" s="286"/>
      <c r="X38" s="286"/>
      <c r="Y38" s="286"/>
      <c r="Z38" s="286"/>
      <c r="AA38" s="286"/>
      <c r="AB38" s="286"/>
      <c r="AC38" s="286"/>
      <c r="AD38" s="286">
        <v>8.5</v>
      </c>
      <c r="AE38" s="286"/>
      <c r="AF38" s="286"/>
      <c r="AG38" s="286"/>
      <c r="AH38" s="286"/>
      <c r="AI38" s="286"/>
      <c r="AJ38" s="286"/>
      <c r="AK38" s="287"/>
      <c r="AL38" s="288"/>
      <c r="AM38" s="287"/>
      <c r="AN38" s="287"/>
      <c r="AO38" s="287"/>
      <c r="AP38" s="286"/>
      <c r="AQ38" s="296"/>
      <c r="AR38" s="286"/>
      <c r="AS38" s="286"/>
      <c r="AT38" s="286"/>
      <c r="AU38" s="286"/>
      <c r="AV38" s="286"/>
      <c r="AW38" s="286"/>
      <c r="AX38" s="286"/>
      <c r="AY38" s="286"/>
      <c r="AZ38" s="286">
        <v>8.6999999999999993</v>
      </c>
      <c r="BA38" s="286"/>
      <c r="BB38" s="286"/>
      <c r="BC38" s="286"/>
      <c r="BD38" s="287"/>
      <c r="BE38" s="287"/>
      <c r="BF38" s="287"/>
      <c r="BG38" s="288">
        <v>10</v>
      </c>
      <c r="BH38" s="287">
        <v>8.6999999999999993</v>
      </c>
      <c r="BI38" s="287"/>
      <c r="BJ38" s="287"/>
      <c r="BK38" s="287"/>
      <c r="BL38" s="287"/>
      <c r="BM38" s="287"/>
      <c r="BN38" s="287"/>
      <c r="BO38" s="287"/>
      <c r="BP38" s="287"/>
      <c r="BQ38" s="287"/>
      <c r="BR38" s="287"/>
      <c r="BS38" s="287"/>
      <c r="BT38" s="287"/>
      <c r="BU38" s="287"/>
      <c r="BV38" s="287"/>
      <c r="BW38" s="287"/>
      <c r="BX38" s="286"/>
      <c r="BY38" s="289">
        <v>10</v>
      </c>
      <c r="BZ38" s="289"/>
      <c r="CA38" s="289"/>
      <c r="CB38" s="289"/>
      <c r="CC38" s="289"/>
      <c r="CD38" s="289"/>
      <c r="CE38" s="289"/>
      <c r="CF38" s="289"/>
      <c r="CG38" s="287"/>
      <c r="CH38" s="287"/>
      <c r="CI38" s="287"/>
      <c r="CJ38" s="287"/>
      <c r="CK38" s="287"/>
      <c r="CL38" s="287"/>
      <c r="CM38" s="287"/>
      <c r="CN38" s="286">
        <v>8.6999999999999993</v>
      </c>
      <c r="CO38" s="287"/>
      <c r="CP38" s="287"/>
      <c r="CQ38" s="287"/>
      <c r="CR38" s="287">
        <v>10.5</v>
      </c>
      <c r="CS38" s="6"/>
      <c r="CT38" s="6"/>
      <c r="CU38" s="6"/>
      <c r="CV38" s="6"/>
      <c r="CW38" s="6"/>
      <c r="CX38" s="6"/>
      <c r="CY38" s="6"/>
      <c r="CZ38" s="6"/>
      <c r="DA38" s="343">
        <f t="shared" si="0"/>
        <v>4.8</v>
      </c>
      <c r="DH38" s="238">
        <v>11</v>
      </c>
    </row>
    <row r="39" spans="1:112" ht="20" customHeight="1" x14ac:dyDescent="0.35">
      <c r="A39" s="301"/>
      <c r="B39" s="270" t="s">
        <v>1676</v>
      </c>
      <c r="C39" s="270" t="s">
        <v>1868</v>
      </c>
      <c r="D39" s="270" t="s">
        <v>1677</v>
      </c>
      <c r="E39" s="270" t="s">
        <v>1195</v>
      </c>
      <c r="F39" s="270" t="s">
        <v>1552</v>
      </c>
      <c r="G39" s="270" t="s">
        <v>31</v>
      </c>
      <c r="H39" s="298">
        <v>8</v>
      </c>
      <c r="I39" s="286"/>
      <c r="J39" s="286"/>
      <c r="K39" s="286"/>
      <c r="L39" s="286"/>
      <c r="M39" s="286"/>
      <c r="N39" s="286"/>
      <c r="O39" s="286"/>
      <c r="P39" s="286"/>
      <c r="Q39" s="286"/>
      <c r="R39" s="286"/>
      <c r="S39" s="286"/>
      <c r="T39" s="286"/>
      <c r="U39" s="286"/>
      <c r="V39" s="294"/>
      <c r="W39" s="286"/>
      <c r="X39" s="286"/>
      <c r="Y39" s="286"/>
      <c r="Z39" s="286"/>
      <c r="AA39" s="286"/>
      <c r="AB39" s="286"/>
      <c r="AC39" s="286"/>
      <c r="AD39" s="286"/>
      <c r="AE39" s="286"/>
      <c r="AF39" s="286"/>
      <c r="AG39" s="286"/>
      <c r="AH39" s="286"/>
      <c r="AI39" s="286"/>
      <c r="AJ39" s="286"/>
      <c r="AK39" s="287"/>
      <c r="AL39" s="288"/>
      <c r="AM39" s="287"/>
      <c r="AN39" s="287"/>
      <c r="AO39" s="287"/>
      <c r="AP39" s="286"/>
      <c r="AQ39" s="296"/>
      <c r="AR39" s="286"/>
      <c r="AS39" s="286"/>
      <c r="AT39" s="286"/>
      <c r="AU39" s="286"/>
      <c r="AV39" s="286"/>
      <c r="AW39" s="286"/>
      <c r="AX39" s="286"/>
      <c r="AY39" s="286"/>
      <c r="AZ39" s="286"/>
      <c r="BA39" s="286"/>
      <c r="BB39" s="286"/>
      <c r="BC39" s="286"/>
      <c r="BD39" s="287"/>
      <c r="BE39" s="287"/>
      <c r="BF39" s="287"/>
      <c r="BG39" s="288"/>
      <c r="BH39" s="287"/>
      <c r="BI39" s="287"/>
      <c r="BJ39" s="287"/>
      <c r="BK39" s="287"/>
      <c r="BL39" s="287"/>
      <c r="BM39" s="287"/>
      <c r="BN39" s="287"/>
      <c r="BO39" s="287"/>
      <c r="BP39" s="287"/>
      <c r="BQ39" s="287"/>
      <c r="BR39" s="287"/>
      <c r="BS39" s="287"/>
      <c r="BT39" s="287"/>
      <c r="BU39" s="287"/>
      <c r="BV39" s="287"/>
      <c r="BW39" s="287"/>
      <c r="BX39" s="286"/>
      <c r="BY39" s="289">
        <v>10</v>
      </c>
      <c r="BZ39" s="289"/>
      <c r="CA39" s="289"/>
      <c r="CB39" s="289"/>
      <c r="CC39" s="289"/>
      <c r="CD39" s="289"/>
      <c r="CE39" s="289"/>
      <c r="CF39" s="289"/>
      <c r="CG39" s="287"/>
      <c r="CH39" s="287"/>
      <c r="CI39" s="287"/>
      <c r="CJ39" s="287"/>
      <c r="CK39" s="287"/>
      <c r="CL39" s="287"/>
      <c r="CM39" s="287"/>
      <c r="CN39" s="287"/>
      <c r="CO39" s="287"/>
      <c r="CP39" s="287"/>
      <c r="CQ39" s="287"/>
      <c r="CR39" s="287"/>
      <c r="CS39" s="6"/>
      <c r="CT39" s="6"/>
      <c r="CU39" s="6"/>
      <c r="CV39" s="6"/>
      <c r="CW39" s="6"/>
      <c r="CX39" s="6"/>
      <c r="CY39" s="6"/>
      <c r="CZ39" s="6"/>
      <c r="DA39" s="343">
        <f t="shared" si="0"/>
        <v>8</v>
      </c>
      <c r="DH39" s="238"/>
    </row>
    <row r="40" spans="1:112" ht="20" customHeight="1" x14ac:dyDescent="0.35">
      <c r="A40" s="301"/>
      <c r="B40" s="270" t="s">
        <v>725</v>
      </c>
      <c r="C40" s="270" t="s">
        <v>618</v>
      </c>
      <c r="D40" s="270" t="s">
        <v>604</v>
      </c>
      <c r="E40" s="270" t="s">
        <v>34</v>
      </c>
      <c r="F40" s="270" t="s">
        <v>1568</v>
      </c>
      <c r="G40" s="270" t="s">
        <v>39</v>
      </c>
      <c r="H40" s="298">
        <v>0.4</v>
      </c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94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7"/>
      <c r="AL40" s="288"/>
      <c r="AM40" s="287"/>
      <c r="AN40" s="287"/>
      <c r="AO40" s="287"/>
      <c r="AP40" s="286"/>
      <c r="AQ40" s="29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7"/>
      <c r="BE40" s="287"/>
      <c r="BF40" s="287"/>
      <c r="BG40" s="288">
        <v>0.8</v>
      </c>
      <c r="BH40" s="287"/>
      <c r="BI40" s="287"/>
      <c r="BJ40" s="287"/>
      <c r="BK40" s="287"/>
      <c r="BL40" s="287"/>
      <c r="BM40" s="287"/>
      <c r="BN40" s="287"/>
      <c r="BO40" s="287"/>
      <c r="BP40" s="287"/>
      <c r="BQ40" s="287"/>
      <c r="BR40" s="287"/>
      <c r="BS40" s="287"/>
      <c r="BT40" s="287"/>
      <c r="BU40" s="287"/>
      <c r="BV40" s="287"/>
      <c r="BW40" s="287"/>
      <c r="BX40" s="286"/>
      <c r="BY40" s="289"/>
      <c r="BZ40" s="289"/>
      <c r="CA40" s="289"/>
      <c r="CB40" s="289"/>
      <c r="CC40" s="289"/>
      <c r="CD40" s="289"/>
      <c r="CE40" s="289"/>
      <c r="CF40" s="289"/>
      <c r="CG40" s="287"/>
      <c r="CH40" s="287"/>
      <c r="CI40" s="287"/>
      <c r="CJ40" s="287"/>
      <c r="CK40" s="287"/>
      <c r="CL40" s="287"/>
      <c r="CM40" s="287"/>
      <c r="CN40" s="287"/>
      <c r="CO40" s="287"/>
      <c r="CP40" s="287"/>
      <c r="CQ40" s="287"/>
      <c r="CR40" s="287"/>
      <c r="CS40" s="6"/>
      <c r="CT40" s="6"/>
      <c r="CU40" s="6"/>
      <c r="CV40" s="6"/>
      <c r="CW40" s="6"/>
      <c r="CX40" s="6"/>
      <c r="CY40" s="6"/>
      <c r="CZ40" s="6"/>
      <c r="DA40" s="343">
        <f t="shared" si="0"/>
        <v>0.4</v>
      </c>
      <c r="DH40" s="238">
        <v>5</v>
      </c>
    </row>
    <row r="41" spans="1:112" ht="20" customHeight="1" x14ac:dyDescent="0.35">
      <c r="A41" s="301"/>
      <c r="B41" s="270" t="s">
        <v>1051</v>
      </c>
      <c r="C41" s="270" t="s">
        <v>618</v>
      </c>
      <c r="D41" s="270" t="s">
        <v>604</v>
      </c>
      <c r="E41" s="270" t="s">
        <v>34</v>
      </c>
      <c r="F41" s="270" t="s">
        <v>1570</v>
      </c>
      <c r="G41" s="270" t="s">
        <v>39</v>
      </c>
      <c r="H41" s="298">
        <v>4</v>
      </c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94"/>
      <c r="W41" s="286"/>
      <c r="X41" s="286"/>
      <c r="Y41" s="286"/>
      <c r="Z41" s="286"/>
      <c r="AA41" s="286"/>
      <c r="AB41" s="286"/>
      <c r="AC41" s="286"/>
      <c r="AD41" s="286"/>
      <c r="AE41" s="286"/>
      <c r="AF41" s="286"/>
      <c r="AG41" s="286"/>
      <c r="AH41" s="286"/>
      <c r="AI41" s="286"/>
      <c r="AJ41" s="286">
        <v>7</v>
      </c>
      <c r="AK41" s="287"/>
      <c r="AL41" s="288"/>
      <c r="AM41" s="287"/>
      <c r="AN41" s="287"/>
      <c r="AO41" s="287"/>
      <c r="AP41" s="286"/>
      <c r="AQ41" s="296"/>
      <c r="AR41" s="286"/>
      <c r="AS41" s="286"/>
      <c r="AT41" s="286"/>
      <c r="AU41" s="286"/>
      <c r="AV41" s="286"/>
      <c r="AW41" s="286"/>
      <c r="AX41" s="286"/>
      <c r="AY41" s="286"/>
      <c r="AZ41" s="286"/>
      <c r="BA41" s="286"/>
      <c r="BB41" s="286"/>
      <c r="BC41" s="286"/>
      <c r="BD41" s="287"/>
      <c r="BE41" s="287"/>
      <c r="BF41" s="287"/>
      <c r="BG41" s="288">
        <v>8</v>
      </c>
      <c r="BH41" s="287"/>
      <c r="BI41" s="287"/>
      <c r="BJ41" s="287"/>
      <c r="BK41" s="287"/>
      <c r="BL41" s="287"/>
      <c r="BM41" s="287"/>
      <c r="BN41" s="287"/>
      <c r="BO41" s="287"/>
      <c r="BP41" s="287"/>
      <c r="BQ41" s="287"/>
      <c r="BR41" s="287"/>
      <c r="BS41" s="287"/>
      <c r="BT41" s="287"/>
      <c r="BU41" s="287"/>
      <c r="BV41" s="287"/>
      <c r="BW41" s="287"/>
      <c r="BX41" s="286"/>
      <c r="BY41" s="289">
        <v>8</v>
      </c>
      <c r="BZ41" s="289"/>
      <c r="CA41" s="289"/>
      <c r="CB41" s="289"/>
      <c r="CC41" s="289"/>
      <c r="CD41" s="289"/>
      <c r="CE41" s="289"/>
      <c r="CF41" s="289"/>
      <c r="CG41" s="287"/>
      <c r="CH41" s="287"/>
      <c r="CI41" s="287"/>
      <c r="CJ41" s="287"/>
      <c r="CK41" s="287"/>
      <c r="CL41" s="287"/>
      <c r="CM41" s="287"/>
      <c r="CN41" s="287"/>
      <c r="CO41" s="287"/>
      <c r="CP41" s="287"/>
      <c r="CQ41" s="287"/>
      <c r="CR41" s="287"/>
      <c r="CS41" s="6"/>
      <c r="CT41" s="6"/>
      <c r="CU41" s="6"/>
      <c r="CV41" s="6"/>
      <c r="CW41" s="6"/>
      <c r="CX41" s="6"/>
      <c r="CY41" s="6"/>
      <c r="CZ41" s="6"/>
      <c r="DA41" s="343">
        <f t="shared" si="0"/>
        <v>4</v>
      </c>
      <c r="DH41" s="238">
        <v>6.5</v>
      </c>
    </row>
    <row r="42" spans="1:112" ht="20" customHeight="1" x14ac:dyDescent="0.35">
      <c r="A42" s="290"/>
      <c r="B42" s="306" t="s">
        <v>726</v>
      </c>
      <c r="C42" s="270" t="s">
        <v>1388</v>
      </c>
      <c r="D42" s="270" t="s">
        <v>513</v>
      </c>
      <c r="E42" s="270" t="s">
        <v>54</v>
      </c>
      <c r="F42" s="270" t="s">
        <v>1571</v>
      </c>
      <c r="G42" s="270" t="s">
        <v>31</v>
      </c>
      <c r="H42" s="298">
        <v>1.46</v>
      </c>
      <c r="I42" s="292">
        <v>8.5</v>
      </c>
      <c r="J42" s="292">
        <v>6</v>
      </c>
      <c r="K42" s="286"/>
      <c r="L42" s="286"/>
      <c r="M42" s="286"/>
      <c r="N42" s="286"/>
      <c r="O42" s="286">
        <v>8</v>
      </c>
      <c r="P42" s="286"/>
      <c r="Q42" s="286"/>
      <c r="R42" s="286"/>
      <c r="S42" s="286"/>
      <c r="T42" s="300">
        <v>6</v>
      </c>
      <c r="U42" s="286"/>
      <c r="V42" s="294"/>
      <c r="W42" s="286"/>
      <c r="X42" s="286"/>
      <c r="Y42" s="286"/>
      <c r="Z42" s="286"/>
      <c r="AA42" s="286"/>
      <c r="AB42" s="286"/>
      <c r="AC42" s="286"/>
      <c r="AD42" s="286"/>
      <c r="AE42" s="286"/>
      <c r="AF42" s="286">
        <v>8</v>
      </c>
      <c r="AG42" s="286"/>
      <c r="AH42" s="286"/>
      <c r="AI42" s="286"/>
      <c r="AJ42" s="286"/>
      <c r="AK42" s="295"/>
      <c r="AL42" s="288"/>
      <c r="AM42" s="287"/>
      <c r="AN42" s="287"/>
      <c r="AO42" s="287"/>
      <c r="AP42" s="286"/>
      <c r="AQ42" s="296">
        <v>7</v>
      </c>
      <c r="AR42" s="286"/>
      <c r="AS42" s="286"/>
      <c r="AT42" s="286"/>
      <c r="AU42" s="286"/>
      <c r="AV42" s="286"/>
      <c r="AW42" s="286"/>
      <c r="AX42" s="286"/>
      <c r="AY42" s="286"/>
      <c r="AZ42" s="286"/>
      <c r="BA42" s="286"/>
      <c r="BB42" s="286"/>
      <c r="BC42" s="286"/>
      <c r="BD42" s="287"/>
      <c r="BE42" s="287"/>
      <c r="BF42" s="287"/>
      <c r="BG42" s="288">
        <v>7</v>
      </c>
      <c r="BH42" s="287"/>
      <c r="BI42" s="287"/>
      <c r="BJ42" s="287"/>
      <c r="BK42" s="287"/>
      <c r="BL42" s="287"/>
      <c r="BM42" s="287"/>
      <c r="BN42" s="287"/>
      <c r="BO42" s="287"/>
      <c r="BP42" s="287"/>
      <c r="BQ42" s="287">
        <v>7</v>
      </c>
      <c r="BR42" s="287"/>
      <c r="BS42" s="287"/>
      <c r="BT42" s="287"/>
      <c r="BU42" s="287">
        <v>8</v>
      </c>
      <c r="BV42" s="287"/>
      <c r="BW42" s="287"/>
      <c r="BX42" s="286"/>
      <c r="BY42" s="289"/>
      <c r="BZ42" s="289"/>
      <c r="CA42" s="289"/>
      <c r="CB42" s="289"/>
      <c r="CC42" s="289"/>
      <c r="CD42" s="289"/>
      <c r="CE42" s="289"/>
      <c r="CF42" s="289"/>
      <c r="CG42" s="305"/>
      <c r="CH42" s="287"/>
      <c r="CI42" s="287"/>
      <c r="CJ42" s="287"/>
      <c r="CK42" s="287"/>
      <c r="CL42" s="287"/>
      <c r="CM42" s="287"/>
      <c r="CN42" s="287"/>
      <c r="CO42" s="287"/>
      <c r="CP42" s="287"/>
      <c r="CQ42" s="287">
        <v>6</v>
      </c>
      <c r="CR42" s="287"/>
      <c r="CS42" s="288">
        <f>I42</f>
        <v>8.5</v>
      </c>
      <c r="CT42" s="6"/>
      <c r="CU42" s="6"/>
      <c r="CV42" s="6"/>
      <c r="CW42" s="6"/>
      <c r="CX42" s="6"/>
      <c r="CY42" s="6"/>
      <c r="CZ42" s="6"/>
      <c r="DA42" s="343">
        <f t="shared" si="0"/>
        <v>1.46</v>
      </c>
      <c r="DH42" s="238">
        <v>4.5</v>
      </c>
    </row>
    <row r="43" spans="1:112" ht="20" customHeight="1" x14ac:dyDescent="0.35">
      <c r="A43" s="290">
        <v>522052</v>
      </c>
      <c r="B43" s="306" t="s">
        <v>1389</v>
      </c>
      <c r="C43" s="270" t="s">
        <v>1390</v>
      </c>
      <c r="D43" s="270" t="s">
        <v>513</v>
      </c>
      <c r="E43" s="270" t="s">
        <v>54</v>
      </c>
      <c r="F43" s="270" t="s">
        <v>1571</v>
      </c>
      <c r="G43" s="270" t="s">
        <v>31</v>
      </c>
      <c r="H43" s="298"/>
      <c r="I43" s="292">
        <v>6</v>
      </c>
      <c r="J43" s="300"/>
      <c r="K43" s="286"/>
      <c r="L43" s="286"/>
      <c r="M43" s="286"/>
      <c r="N43" s="286"/>
      <c r="O43" s="286"/>
      <c r="P43" s="286"/>
      <c r="Q43" s="286"/>
      <c r="R43" s="286"/>
      <c r="S43" s="286"/>
      <c r="T43" s="300"/>
      <c r="U43" s="286"/>
      <c r="V43" s="294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7"/>
      <c r="AL43" s="288"/>
      <c r="AM43" s="287"/>
      <c r="AN43" s="287"/>
      <c r="AO43" s="287"/>
      <c r="AP43" s="286"/>
      <c r="AQ43" s="296">
        <v>8</v>
      </c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7"/>
      <c r="BE43" s="287"/>
      <c r="BF43" s="287"/>
      <c r="BG43" s="287"/>
      <c r="BH43" s="287"/>
      <c r="BI43" s="287"/>
      <c r="BJ43" s="287"/>
      <c r="BK43" s="287"/>
      <c r="BL43" s="287"/>
      <c r="BM43" s="287"/>
      <c r="BN43" s="287"/>
      <c r="BO43" s="287"/>
      <c r="BP43" s="287"/>
      <c r="BQ43" s="287"/>
      <c r="BR43" s="287"/>
      <c r="BS43" s="287"/>
      <c r="BT43" s="287"/>
      <c r="BU43" s="287"/>
      <c r="BV43" s="287"/>
      <c r="BW43" s="287"/>
      <c r="BX43" s="286"/>
      <c r="BY43" s="289"/>
      <c r="BZ43" s="289"/>
      <c r="CA43" s="289"/>
      <c r="CB43" s="289"/>
      <c r="CC43" s="289"/>
      <c r="CD43" s="289"/>
      <c r="CE43" s="289"/>
      <c r="CF43" s="289"/>
      <c r="CG43" s="305"/>
      <c r="CH43" s="287"/>
      <c r="CI43" s="287"/>
      <c r="CJ43" s="287"/>
      <c r="CK43" s="287"/>
      <c r="CL43" s="287"/>
      <c r="CM43" s="287"/>
      <c r="CN43" s="287"/>
      <c r="CO43" s="287"/>
      <c r="CP43" s="287"/>
      <c r="CQ43" s="287"/>
      <c r="CR43" s="287"/>
      <c r="CS43" s="6"/>
      <c r="CT43" s="6"/>
      <c r="CU43" s="6"/>
      <c r="CV43" s="6"/>
      <c r="CW43" s="6"/>
      <c r="CX43" s="6"/>
      <c r="CY43" s="6"/>
      <c r="CZ43" s="6"/>
      <c r="DA43" s="343">
        <f t="shared" si="0"/>
        <v>0</v>
      </c>
      <c r="DH43" s="238">
        <v>18</v>
      </c>
    </row>
    <row r="44" spans="1:112" ht="20" customHeight="1" x14ac:dyDescent="0.35">
      <c r="A44" s="290"/>
      <c r="B44" s="306" t="s">
        <v>727</v>
      </c>
      <c r="C44" s="270" t="s">
        <v>1391</v>
      </c>
      <c r="D44" s="270" t="s">
        <v>513</v>
      </c>
      <c r="E44" s="270" t="s">
        <v>54</v>
      </c>
      <c r="F44" s="270" t="s">
        <v>1571</v>
      </c>
      <c r="G44" s="270" t="s">
        <v>31</v>
      </c>
      <c r="H44" s="298">
        <v>1.46</v>
      </c>
      <c r="I44" s="292">
        <v>10.5</v>
      </c>
      <c r="J44" s="292">
        <v>7</v>
      </c>
      <c r="K44" s="286"/>
      <c r="L44" s="286"/>
      <c r="M44" s="286"/>
      <c r="N44" s="286"/>
      <c r="O44" s="286">
        <v>10</v>
      </c>
      <c r="P44" s="286"/>
      <c r="Q44" s="286"/>
      <c r="R44" s="286"/>
      <c r="S44" s="286"/>
      <c r="T44" s="300">
        <v>7</v>
      </c>
      <c r="U44" s="286"/>
      <c r="V44" s="294"/>
      <c r="W44" s="286"/>
      <c r="X44" s="286"/>
      <c r="Y44" s="286"/>
      <c r="Z44" s="286"/>
      <c r="AA44" s="286"/>
      <c r="AB44" s="286"/>
      <c r="AC44" s="286"/>
      <c r="AD44" s="286"/>
      <c r="AE44" s="286"/>
      <c r="AF44" s="286">
        <v>9</v>
      </c>
      <c r="AG44" s="286"/>
      <c r="AH44" s="286"/>
      <c r="AI44" s="286"/>
      <c r="AJ44" s="286"/>
      <c r="AK44" s="295"/>
      <c r="AL44" s="288"/>
      <c r="AM44" s="287"/>
      <c r="AN44" s="287"/>
      <c r="AO44" s="287"/>
      <c r="AP44" s="286"/>
      <c r="AQ44" s="296">
        <v>8</v>
      </c>
      <c r="AR44" s="286"/>
      <c r="AS44" s="286"/>
      <c r="AT44" s="286"/>
      <c r="AU44" s="286"/>
      <c r="AV44" s="286"/>
      <c r="AW44" s="286"/>
      <c r="AX44" s="286"/>
      <c r="AY44" s="286"/>
      <c r="AZ44" s="286"/>
      <c r="BA44" s="286"/>
      <c r="BB44" s="286"/>
      <c r="BC44" s="286"/>
      <c r="BD44" s="287"/>
      <c r="BE44" s="287"/>
      <c r="BF44" s="287"/>
      <c r="BG44" s="288">
        <v>8</v>
      </c>
      <c r="BH44" s="287"/>
      <c r="BI44" s="287"/>
      <c r="BJ44" s="287"/>
      <c r="BK44" s="287"/>
      <c r="BL44" s="287"/>
      <c r="BM44" s="287"/>
      <c r="BN44" s="287"/>
      <c r="BO44" s="287"/>
      <c r="BP44" s="287"/>
      <c r="BQ44" s="287">
        <v>8</v>
      </c>
      <c r="BR44" s="287"/>
      <c r="BS44" s="287"/>
      <c r="BT44" s="287"/>
      <c r="BU44" s="287">
        <v>9</v>
      </c>
      <c r="BV44" s="287"/>
      <c r="BW44" s="287"/>
      <c r="BX44" s="286"/>
      <c r="BY44" s="289"/>
      <c r="BZ44" s="289"/>
      <c r="CA44" s="289"/>
      <c r="CB44" s="289"/>
      <c r="CC44" s="289"/>
      <c r="CD44" s="289"/>
      <c r="CE44" s="289"/>
      <c r="CF44" s="289"/>
      <c r="CG44" s="305"/>
      <c r="CH44" s="287"/>
      <c r="CI44" s="287"/>
      <c r="CJ44" s="287"/>
      <c r="CK44" s="287"/>
      <c r="CL44" s="287"/>
      <c r="CM44" s="287"/>
      <c r="CN44" s="287"/>
      <c r="CO44" s="287"/>
      <c r="CP44" s="287"/>
      <c r="CQ44" s="287">
        <v>7</v>
      </c>
      <c r="CR44" s="287"/>
      <c r="CS44" s="288">
        <f>I44</f>
        <v>10.5</v>
      </c>
      <c r="CT44" s="6"/>
      <c r="CU44" s="6"/>
      <c r="CV44" s="6"/>
      <c r="CW44" s="6"/>
      <c r="CX44" s="6"/>
      <c r="CY44" s="6"/>
      <c r="CZ44" s="6"/>
      <c r="DA44" s="343">
        <f t="shared" si="0"/>
        <v>1.46</v>
      </c>
      <c r="DH44" s="238">
        <v>18</v>
      </c>
    </row>
    <row r="45" spans="1:112" ht="20" customHeight="1" x14ac:dyDescent="0.35">
      <c r="A45" s="290">
        <v>522055</v>
      </c>
      <c r="B45" s="306" t="s">
        <v>1392</v>
      </c>
      <c r="C45" s="270" t="s">
        <v>1393</v>
      </c>
      <c r="D45" s="270" t="s">
        <v>513</v>
      </c>
      <c r="E45" s="270" t="s">
        <v>54</v>
      </c>
      <c r="F45" s="270" t="s">
        <v>1571</v>
      </c>
      <c r="G45" s="270" t="s">
        <v>31</v>
      </c>
      <c r="H45" s="298"/>
      <c r="I45" s="292">
        <v>8</v>
      </c>
      <c r="J45" s="300"/>
      <c r="K45" s="286"/>
      <c r="L45" s="286"/>
      <c r="M45" s="286"/>
      <c r="N45" s="286"/>
      <c r="O45" s="286"/>
      <c r="P45" s="286"/>
      <c r="Q45" s="286"/>
      <c r="R45" s="286"/>
      <c r="S45" s="286"/>
      <c r="T45" s="300"/>
      <c r="U45" s="286"/>
      <c r="V45" s="294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7"/>
      <c r="AL45" s="288"/>
      <c r="AM45" s="287"/>
      <c r="AN45" s="287"/>
      <c r="AO45" s="287"/>
      <c r="AP45" s="286"/>
      <c r="AQ45" s="296">
        <v>9</v>
      </c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7"/>
      <c r="BE45" s="287"/>
      <c r="BF45" s="287"/>
      <c r="BG45" s="287"/>
      <c r="BH45" s="287"/>
      <c r="BI45" s="287"/>
      <c r="BJ45" s="287"/>
      <c r="BK45" s="287"/>
      <c r="BL45" s="287"/>
      <c r="BM45" s="287"/>
      <c r="BN45" s="287"/>
      <c r="BO45" s="287"/>
      <c r="BP45" s="287"/>
      <c r="BQ45" s="287"/>
      <c r="BR45" s="287"/>
      <c r="BS45" s="287"/>
      <c r="BT45" s="287"/>
      <c r="BU45" s="287"/>
      <c r="BV45" s="287"/>
      <c r="BW45" s="287"/>
      <c r="BX45" s="286"/>
      <c r="BY45" s="289"/>
      <c r="BZ45" s="289"/>
      <c r="CA45" s="289"/>
      <c r="CB45" s="289"/>
      <c r="CC45" s="289"/>
      <c r="CD45" s="289"/>
      <c r="CE45" s="289"/>
      <c r="CF45" s="289"/>
      <c r="CG45" s="305"/>
      <c r="CH45" s="287"/>
      <c r="CI45" s="287"/>
      <c r="CJ45" s="287"/>
      <c r="CK45" s="287"/>
      <c r="CL45" s="287"/>
      <c r="CM45" s="287"/>
      <c r="CN45" s="287"/>
      <c r="CO45" s="287"/>
      <c r="CP45" s="287"/>
      <c r="CQ45" s="287"/>
      <c r="CR45" s="287"/>
      <c r="CS45" s="6"/>
      <c r="CT45" s="6"/>
      <c r="CU45" s="6"/>
      <c r="CV45" s="6"/>
      <c r="CW45" s="6"/>
      <c r="CX45" s="6"/>
      <c r="CY45" s="6"/>
      <c r="CZ45" s="6"/>
      <c r="DA45" s="343">
        <f t="shared" si="0"/>
        <v>0</v>
      </c>
      <c r="DH45" s="238">
        <v>18</v>
      </c>
    </row>
    <row r="46" spans="1:112" ht="20" customHeight="1" x14ac:dyDescent="0.35">
      <c r="A46" s="290"/>
      <c r="B46" s="306" t="s">
        <v>728</v>
      </c>
      <c r="C46" s="270" t="s">
        <v>1394</v>
      </c>
      <c r="D46" s="270" t="s">
        <v>513</v>
      </c>
      <c r="E46" s="270" t="s">
        <v>54</v>
      </c>
      <c r="F46" s="270" t="s">
        <v>1571</v>
      </c>
      <c r="G46" s="270" t="s">
        <v>31</v>
      </c>
      <c r="H46" s="298">
        <v>2.82</v>
      </c>
      <c r="I46" s="292">
        <v>8.5</v>
      </c>
      <c r="J46" s="292">
        <v>6</v>
      </c>
      <c r="K46" s="286"/>
      <c r="L46" s="286"/>
      <c r="M46" s="286"/>
      <c r="N46" s="286"/>
      <c r="O46" s="286">
        <v>10</v>
      </c>
      <c r="P46" s="286"/>
      <c r="Q46" s="286"/>
      <c r="R46" s="286"/>
      <c r="S46" s="286"/>
      <c r="T46" s="300">
        <v>6</v>
      </c>
      <c r="U46" s="286"/>
      <c r="V46" s="294"/>
      <c r="W46" s="286"/>
      <c r="X46" s="286"/>
      <c r="Y46" s="286"/>
      <c r="Z46" s="286"/>
      <c r="AA46" s="286"/>
      <c r="AB46" s="286"/>
      <c r="AC46" s="286"/>
      <c r="AD46" s="286"/>
      <c r="AE46" s="286"/>
      <c r="AF46" s="286">
        <v>10</v>
      </c>
      <c r="AG46" s="286"/>
      <c r="AH46" s="286"/>
      <c r="AI46" s="286"/>
      <c r="AJ46" s="286"/>
      <c r="AK46" s="295"/>
      <c r="AL46" s="288"/>
      <c r="AM46" s="287"/>
      <c r="AN46" s="287"/>
      <c r="AO46" s="287"/>
      <c r="AP46" s="286"/>
      <c r="AQ46" s="296">
        <v>10</v>
      </c>
      <c r="AR46" s="286"/>
      <c r="AS46" s="286"/>
      <c r="AT46" s="286"/>
      <c r="AU46" s="286"/>
      <c r="AV46" s="286"/>
      <c r="AW46" s="286"/>
      <c r="AX46" s="286"/>
      <c r="AY46" s="286"/>
      <c r="AZ46" s="286"/>
      <c r="BA46" s="286"/>
      <c r="BB46" s="286"/>
      <c r="BC46" s="286"/>
      <c r="BD46" s="287"/>
      <c r="BE46" s="287"/>
      <c r="BF46" s="287"/>
      <c r="BG46" s="288">
        <v>9</v>
      </c>
      <c r="BH46" s="287"/>
      <c r="BI46" s="287"/>
      <c r="BJ46" s="287"/>
      <c r="BK46" s="287"/>
      <c r="BL46" s="287"/>
      <c r="BM46" s="287"/>
      <c r="BN46" s="287"/>
      <c r="BO46" s="287"/>
      <c r="BP46" s="287"/>
      <c r="BQ46" s="287">
        <v>8</v>
      </c>
      <c r="BR46" s="287"/>
      <c r="BS46" s="287"/>
      <c r="BT46" s="287"/>
      <c r="BU46" s="287">
        <v>10</v>
      </c>
      <c r="BV46" s="287"/>
      <c r="BW46" s="287"/>
      <c r="BX46" s="286"/>
      <c r="BY46" s="289"/>
      <c r="BZ46" s="289"/>
      <c r="CA46" s="289"/>
      <c r="CB46" s="289"/>
      <c r="CC46" s="289"/>
      <c r="CD46" s="289"/>
      <c r="CE46" s="289"/>
      <c r="CF46" s="289"/>
      <c r="CG46" s="305"/>
      <c r="CH46" s="287"/>
      <c r="CI46" s="287"/>
      <c r="CJ46" s="287"/>
      <c r="CK46" s="287"/>
      <c r="CL46" s="287">
        <v>10</v>
      </c>
      <c r="CM46" s="287"/>
      <c r="CN46" s="287"/>
      <c r="CO46" s="287"/>
      <c r="CP46" s="287"/>
      <c r="CQ46" s="287">
        <v>6</v>
      </c>
      <c r="CR46" s="287"/>
      <c r="CS46" s="288">
        <f>I46</f>
        <v>8.5</v>
      </c>
      <c r="CT46" s="6"/>
      <c r="CU46" s="6"/>
      <c r="CV46" s="6"/>
      <c r="CW46" s="6"/>
      <c r="CX46" s="6"/>
      <c r="CY46" s="6"/>
      <c r="CZ46" s="6"/>
      <c r="DA46" s="343">
        <f t="shared" si="0"/>
        <v>2.82</v>
      </c>
      <c r="DH46" s="238">
        <v>14</v>
      </c>
    </row>
    <row r="47" spans="1:112" ht="20" customHeight="1" x14ac:dyDescent="0.35">
      <c r="A47" s="290">
        <v>522053</v>
      </c>
      <c r="B47" s="306" t="s">
        <v>1395</v>
      </c>
      <c r="C47" s="270" t="s">
        <v>1396</v>
      </c>
      <c r="D47" s="270" t="s">
        <v>513</v>
      </c>
      <c r="E47" s="270" t="s">
        <v>54</v>
      </c>
      <c r="F47" s="270" t="s">
        <v>1571</v>
      </c>
      <c r="G47" s="270" t="s">
        <v>31</v>
      </c>
      <c r="H47" s="298"/>
      <c r="I47" s="292">
        <v>8</v>
      </c>
      <c r="J47" s="300"/>
      <c r="K47" s="286"/>
      <c r="L47" s="286"/>
      <c r="M47" s="286"/>
      <c r="N47" s="286"/>
      <c r="O47" s="286"/>
      <c r="P47" s="286"/>
      <c r="Q47" s="286"/>
      <c r="R47" s="286"/>
      <c r="S47" s="286"/>
      <c r="T47" s="300"/>
      <c r="U47" s="286"/>
      <c r="V47" s="294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7"/>
      <c r="AL47" s="288"/>
      <c r="AM47" s="287"/>
      <c r="AN47" s="287"/>
      <c r="AO47" s="287"/>
      <c r="AP47" s="286"/>
      <c r="AQ47" s="296">
        <v>11</v>
      </c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7"/>
      <c r="BE47" s="287"/>
      <c r="BF47" s="287"/>
      <c r="BG47" s="287"/>
      <c r="BH47" s="287"/>
      <c r="BI47" s="287"/>
      <c r="BJ47" s="287"/>
      <c r="BK47" s="287"/>
      <c r="BL47" s="287"/>
      <c r="BM47" s="287"/>
      <c r="BN47" s="287"/>
      <c r="BO47" s="287"/>
      <c r="BP47" s="287"/>
      <c r="BQ47" s="287"/>
      <c r="BR47" s="287"/>
      <c r="BS47" s="287"/>
      <c r="BT47" s="287"/>
      <c r="BU47" s="287"/>
      <c r="BV47" s="287"/>
      <c r="BW47" s="287"/>
      <c r="BX47" s="286"/>
      <c r="BY47" s="289"/>
      <c r="BZ47" s="289"/>
      <c r="CA47" s="289"/>
      <c r="CB47" s="289"/>
      <c r="CC47" s="289"/>
      <c r="CD47" s="289"/>
      <c r="CE47" s="289"/>
      <c r="CF47" s="289"/>
      <c r="CG47" s="305"/>
      <c r="CH47" s="287"/>
      <c r="CI47" s="287"/>
      <c r="CJ47" s="287"/>
      <c r="CK47" s="287"/>
      <c r="CL47" s="287"/>
      <c r="CM47" s="287"/>
      <c r="CN47" s="287"/>
      <c r="CO47" s="287"/>
      <c r="CP47" s="287"/>
      <c r="CQ47" s="287"/>
      <c r="CR47" s="287"/>
      <c r="CS47" s="6"/>
      <c r="CT47" s="6"/>
      <c r="CU47" s="6"/>
      <c r="CV47" s="6"/>
      <c r="CW47" s="6"/>
      <c r="CX47" s="6"/>
      <c r="CY47" s="6"/>
      <c r="CZ47" s="6"/>
      <c r="DA47" s="343">
        <f t="shared" si="0"/>
        <v>0</v>
      </c>
      <c r="DH47" s="238">
        <v>18</v>
      </c>
    </row>
    <row r="48" spans="1:112" ht="20" customHeight="1" x14ac:dyDescent="0.35">
      <c r="A48" s="301"/>
      <c r="B48" s="270" t="s">
        <v>729</v>
      </c>
      <c r="C48" s="270" t="s">
        <v>1566</v>
      </c>
      <c r="D48" s="297" t="s">
        <v>513</v>
      </c>
      <c r="E48" s="270" t="s">
        <v>54</v>
      </c>
      <c r="F48" s="270" t="s">
        <v>1572</v>
      </c>
      <c r="G48" s="270" t="s">
        <v>39</v>
      </c>
      <c r="H48" s="298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94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7"/>
      <c r="AL48" s="288"/>
      <c r="AM48" s="287"/>
      <c r="AN48" s="287"/>
      <c r="AO48" s="287"/>
      <c r="AP48" s="286"/>
      <c r="AQ48" s="296"/>
      <c r="AR48" s="286"/>
      <c r="AS48" s="286"/>
      <c r="AT48" s="286"/>
      <c r="AU48" s="286"/>
      <c r="AV48" s="286"/>
      <c r="AW48" s="286"/>
      <c r="AX48" s="286"/>
      <c r="AY48" s="286"/>
      <c r="AZ48" s="286"/>
      <c r="BA48" s="286"/>
      <c r="BB48" s="286"/>
      <c r="BC48" s="286"/>
      <c r="BD48" s="287"/>
      <c r="BE48" s="287"/>
      <c r="BF48" s="287"/>
      <c r="BG48" s="287"/>
      <c r="BH48" s="287"/>
      <c r="BI48" s="287"/>
      <c r="BJ48" s="287"/>
      <c r="BK48" s="287"/>
      <c r="BL48" s="287"/>
      <c r="BM48" s="287"/>
      <c r="BN48" s="287"/>
      <c r="BO48" s="287"/>
      <c r="BP48" s="287"/>
      <c r="BQ48" s="287"/>
      <c r="BR48" s="287"/>
      <c r="BS48" s="287"/>
      <c r="BT48" s="287"/>
      <c r="BU48" s="287"/>
      <c r="BV48" s="287"/>
      <c r="BW48" s="287"/>
      <c r="BX48" s="286"/>
      <c r="BY48" s="289"/>
      <c r="BZ48" s="289"/>
      <c r="CA48" s="289"/>
      <c r="CB48" s="289"/>
      <c r="CC48" s="289"/>
      <c r="CD48" s="289"/>
      <c r="CE48" s="289"/>
      <c r="CF48" s="289"/>
      <c r="CG48" s="287"/>
      <c r="CH48" s="287"/>
      <c r="CI48" s="287"/>
      <c r="CJ48" s="287"/>
      <c r="CK48" s="287"/>
      <c r="CL48" s="287"/>
      <c r="CM48" s="287"/>
      <c r="CN48" s="287"/>
      <c r="CO48" s="287"/>
      <c r="CP48" s="287"/>
      <c r="CQ48" s="287"/>
      <c r="CR48" s="287"/>
      <c r="CS48" s="6"/>
      <c r="CT48" s="6"/>
      <c r="CU48" s="6"/>
      <c r="CV48" s="6"/>
      <c r="CW48" s="6"/>
      <c r="CX48" s="6"/>
      <c r="CY48" s="6"/>
      <c r="CZ48" s="6"/>
      <c r="DA48" s="343">
        <f t="shared" si="0"/>
        <v>0</v>
      </c>
      <c r="DH48" s="238">
        <v>18</v>
      </c>
    </row>
    <row r="49" spans="1:112" ht="20" customHeight="1" x14ac:dyDescent="0.35">
      <c r="A49" s="301"/>
      <c r="B49" s="270" t="s">
        <v>2237</v>
      </c>
      <c r="C49" s="270" t="s">
        <v>2240</v>
      </c>
      <c r="D49" s="297" t="s">
        <v>513</v>
      </c>
      <c r="E49" s="270" t="s">
        <v>54</v>
      </c>
      <c r="F49" s="270" t="s">
        <v>2238</v>
      </c>
      <c r="G49" s="270" t="s">
        <v>39</v>
      </c>
      <c r="H49" s="298"/>
      <c r="I49" s="286"/>
      <c r="J49" s="286"/>
      <c r="K49" s="286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294"/>
      <c r="W49" s="286"/>
      <c r="X49" s="286"/>
      <c r="Y49" s="286"/>
      <c r="Z49" s="286"/>
      <c r="AA49" s="286"/>
      <c r="AB49" s="286"/>
      <c r="AC49" s="286"/>
      <c r="AD49" s="286"/>
      <c r="AE49" s="286"/>
      <c r="AF49" s="286"/>
      <c r="AG49" s="286"/>
      <c r="AH49" s="286"/>
      <c r="AI49" s="286"/>
      <c r="AJ49" s="286"/>
      <c r="AK49" s="287"/>
      <c r="AL49" s="288"/>
      <c r="AM49" s="287"/>
      <c r="AN49" s="287"/>
      <c r="AO49" s="287"/>
      <c r="AP49" s="286"/>
      <c r="AQ49" s="296"/>
      <c r="AR49" s="286"/>
      <c r="AS49" s="286"/>
      <c r="AT49" s="286"/>
      <c r="AU49" s="286"/>
      <c r="AV49" s="286"/>
      <c r="AW49" s="286"/>
      <c r="AX49" s="286"/>
      <c r="AY49" s="286"/>
      <c r="AZ49" s="286"/>
      <c r="BA49" s="286"/>
      <c r="BB49" s="286"/>
      <c r="BC49" s="286"/>
      <c r="BD49" s="287"/>
      <c r="BE49" s="287"/>
      <c r="BF49" s="287"/>
      <c r="BG49" s="287"/>
      <c r="BH49" s="287"/>
      <c r="BI49" s="287"/>
      <c r="BJ49" s="287"/>
      <c r="BK49" s="287"/>
      <c r="BL49" s="287"/>
      <c r="BM49" s="287"/>
      <c r="BN49" s="287"/>
      <c r="BO49" s="287"/>
      <c r="BP49" s="287"/>
      <c r="BQ49" s="287"/>
      <c r="BR49" s="287"/>
      <c r="BS49" s="287">
        <v>10</v>
      </c>
      <c r="BT49" s="287"/>
      <c r="BU49" s="287"/>
      <c r="BV49" s="287"/>
      <c r="BW49" s="287"/>
      <c r="BX49" s="286"/>
      <c r="BY49" s="289"/>
      <c r="BZ49" s="289"/>
      <c r="CA49" s="289"/>
      <c r="CB49" s="289"/>
      <c r="CC49" s="289"/>
      <c r="CD49" s="289"/>
      <c r="CE49" s="289"/>
      <c r="CF49" s="289"/>
      <c r="CG49" s="287"/>
      <c r="CH49" s="287"/>
      <c r="CI49" s="287"/>
      <c r="CJ49" s="287"/>
      <c r="CK49" s="287"/>
      <c r="CL49" s="287"/>
      <c r="CM49" s="287"/>
      <c r="CN49" s="287"/>
      <c r="CO49" s="287"/>
      <c r="CP49" s="287"/>
      <c r="CQ49" s="287"/>
      <c r="CR49" s="287"/>
      <c r="CS49" s="6"/>
      <c r="CT49" s="6"/>
      <c r="CU49" s="6"/>
      <c r="CV49" s="6"/>
      <c r="CW49" s="6"/>
      <c r="CX49" s="6"/>
      <c r="CY49" s="6"/>
      <c r="CZ49" s="6"/>
      <c r="DA49" s="343">
        <f t="shared" ref="DA49" si="2">H49</f>
        <v>0</v>
      </c>
      <c r="DH49" s="238">
        <v>18</v>
      </c>
    </row>
    <row r="50" spans="1:112" ht="20" customHeight="1" x14ac:dyDescent="0.35">
      <c r="A50" s="301"/>
      <c r="B50" s="270" t="s">
        <v>730</v>
      </c>
      <c r="C50" s="270" t="s">
        <v>1348</v>
      </c>
      <c r="D50" s="297" t="s">
        <v>513</v>
      </c>
      <c r="E50" s="270" t="s">
        <v>54</v>
      </c>
      <c r="F50" s="270" t="s">
        <v>1552</v>
      </c>
      <c r="G50" s="270" t="s">
        <v>31</v>
      </c>
      <c r="H50" s="298">
        <v>1.0900000000000001</v>
      </c>
      <c r="I50" s="286"/>
      <c r="J50" s="292">
        <v>3.5</v>
      </c>
      <c r="K50" s="286"/>
      <c r="L50" s="286"/>
      <c r="M50" s="286"/>
      <c r="N50" s="286"/>
      <c r="O50" s="286"/>
      <c r="P50" s="286"/>
      <c r="Q50" s="286"/>
      <c r="R50" s="286"/>
      <c r="S50" s="286"/>
      <c r="T50" s="286">
        <v>3.5</v>
      </c>
      <c r="U50" s="286"/>
      <c r="V50" s="294"/>
      <c r="W50" s="286"/>
      <c r="X50" s="286"/>
      <c r="Y50" s="286"/>
      <c r="Z50" s="286"/>
      <c r="AA50" s="286"/>
      <c r="AB50" s="286"/>
      <c r="AC50" s="286"/>
      <c r="AD50" s="286">
        <v>3.5</v>
      </c>
      <c r="AE50" s="286"/>
      <c r="AF50" s="286"/>
      <c r="AG50" s="286"/>
      <c r="AH50" s="286"/>
      <c r="AI50" s="286"/>
      <c r="AJ50" s="286"/>
      <c r="AK50" s="295"/>
      <c r="AL50" s="288"/>
      <c r="AM50" s="287"/>
      <c r="AN50" s="287"/>
      <c r="AO50" s="287"/>
      <c r="AP50" s="286"/>
      <c r="AQ50" s="296"/>
      <c r="AR50" s="286"/>
      <c r="AS50" s="286"/>
      <c r="AT50" s="286"/>
      <c r="AU50" s="286"/>
      <c r="AV50" s="286"/>
      <c r="AW50" s="286"/>
      <c r="AX50" s="286"/>
      <c r="AY50" s="286"/>
      <c r="AZ50" s="286"/>
      <c r="BA50" s="286"/>
      <c r="BB50" s="286"/>
      <c r="BC50" s="286"/>
      <c r="BD50" s="287"/>
      <c r="BE50" s="287"/>
      <c r="BF50" s="287"/>
      <c r="BG50" s="288">
        <v>4.5</v>
      </c>
      <c r="BH50" s="287"/>
      <c r="BI50" s="287"/>
      <c r="BJ50" s="287"/>
      <c r="BK50" s="287"/>
      <c r="BL50" s="287"/>
      <c r="BM50" s="287"/>
      <c r="BN50" s="287"/>
      <c r="BO50" s="287"/>
      <c r="BP50" s="287"/>
      <c r="BQ50" s="287"/>
      <c r="BR50" s="287">
        <v>3.5</v>
      </c>
      <c r="BS50" s="287"/>
      <c r="BT50" s="287"/>
      <c r="BU50" s="287"/>
      <c r="BV50" s="287"/>
      <c r="BW50" s="287"/>
      <c r="BX50" s="286"/>
      <c r="BY50" s="289"/>
      <c r="BZ50" s="289"/>
      <c r="CA50" s="289"/>
      <c r="CB50" s="289"/>
      <c r="CC50" s="289"/>
      <c r="CD50" s="289"/>
      <c r="CE50" s="289"/>
      <c r="CF50" s="289"/>
      <c r="CG50" s="287"/>
      <c r="CH50" s="287"/>
      <c r="CI50" s="287"/>
      <c r="CJ50" s="287"/>
      <c r="CK50" s="287"/>
      <c r="CL50" s="287"/>
      <c r="CM50" s="287"/>
      <c r="CN50" s="287"/>
      <c r="CO50" s="287"/>
      <c r="CP50" s="287"/>
      <c r="CQ50" s="287"/>
      <c r="CR50" s="287">
        <v>4.5</v>
      </c>
      <c r="CS50" s="6"/>
      <c r="CT50" s="6"/>
      <c r="CU50" s="6"/>
      <c r="CV50" s="6"/>
      <c r="CW50" s="6"/>
      <c r="CX50" s="6"/>
      <c r="CY50" s="6"/>
      <c r="CZ50" s="6"/>
      <c r="DA50" s="343">
        <f t="shared" si="0"/>
        <v>1.0900000000000001</v>
      </c>
      <c r="DH50" s="238">
        <v>11</v>
      </c>
    </row>
    <row r="51" spans="1:112" ht="20" customHeight="1" x14ac:dyDescent="0.35">
      <c r="A51" s="301"/>
      <c r="B51" s="270" t="s">
        <v>2054</v>
      </c>
      <c r="C51" s="270" t="s">
        <v>1348</v>
      </c>
      <c r="D51" s="297" t="s">
        <v>513</v>
      </c>
      <c r="E51" s="270" t="s">
        <v>54</v>
      </c>
      <c r="F51" s="270" t="s">
        <v>2055</v>
      </c>
      <c r="G51" s="270" t="s">
        <v>1962</v>
      </c>
      <c r="H51" s="298"/>
      <c r="I51" s="286"/>
      <c r="J51" s="292"/>
      <c r="K51" s="286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294"/>
      <c r="W51" s="286"/>
      <c r="X51" s="286"/>
      <c r="Y51" s="286"/>
      <c r="Z51" s="286"/>
      <c r="AA51" s="286"/>
      <c r="AB51" s="286"/>
      <c r="AC51" s="286"/>
      <c r="AD51" s="286"/>
      <c r="AE51" s="286"/>
      <c r="AF51" s="286"/>
      <c r="AG51" s="286"/>
      <c r="AH51" s="286"/>
      <c r="AI51" s="286"/>
      <c r="AJ51" s="286"/>
      <c r="AK51" s="295"/>
      <c r="AL51" s="288"/>
      <c r="AM51" s="287"/>
      <c r="AN51" s="287"/>
      <c r="AO51" s="287"/>
      <c r="AP51" s="286"/>
      <c r="AQ51" s="296"/>
      <c r="AR51" s="286"/>
      <c r="AS51" s="286"/>
      <c r="AT51" s="286"/>
      <c r="AU51" s="286"/>
      <c r="AV51" s="286"/>
      <c r="AW51" s="286"/>
      <c r="AX51" s="286"/>
      <c r="AY51" s="286"/>
      <c r="AZ51" s="286"/>
      <c r="BA51" s="286"/>
      <c r="BB51" s="286"/>
      <c r="BC51" s="286"/>
      <c r="BD51" s="287"/>
      <c r="BE51" s="287"/>
      <c r="BF51" s="287"/>
      <c r="BG51" s="288"/>
      <c r="BH51" s="287"/>
      <c r="BI51" s="287"/>
      <c r="BJ51" s="287"/>
      <c r="BK51" s="287"/>
      <c r="BL51" s="287"/>
      <c r="BM51" s="287"/>
      <c r="BN51" s="287"/>
      <c r="BO51" s="287"/>
      <c r="BP51" s="287"/>
      <c r="BQ51" s="287"/>
      <c r="BR51" s="287"/>
      <c r="BS51" s="287"/>
      <c r="BT51" s="287"/>
      <c r="BU51" s="287"/>
      <c r="BV51" s="287"/>
      <c r="BW51" s="287"/>
      <c r="BX51" s="286"/>
      <c r="BY51" s="289"/>
      <c r="BZ51" s="289"/>
      <c r="CA51" s="289"/>
      <c r="CB51" s="289"/>
      <c r="CC51" s="289"/>
      <c r="CD51" s="289"/>
      <c r="CE51" s="289"/>
      <c r="CF51" s="289"/>
      <c r="CG51" s="287"/>
      <c r="CH51" s="287"/>
      <c r="CI51" s="287"/>
      <c r="CJ51" s="287"/>
      <c r="CK51" s="287"/>
      <c r="CL51" s="287"/>
      <c r="CM51" s="287"/>
      <c r="CN51" s="287"/>
      <c r="CO51" s="287"/>
      <c r="CP51" s="287">
        <v>0.85</v>
      </c>
      <c r="CQ51" s="287"/>
      <c r="CR51" s="287"/>
      <c r="CS51" s="6"/>
      <c r="CT51" s="6"/>
      <c r="CU51" s="6"/>
      <c r="CV51" s="6"/>
      <c r="CW51" s="6"/>
      <c r="CX51" s="6"/>
      <c r="CY51" s="6"/>
      <c r="CZ51" s="6"/>
      <c r="DA51" s="343">
        <f>H51</f>
        <v>0</v>
      </c>
      <c r="DH51" s="238">
        <v>11</v>
      </c>
    </row>
    <row r="52" spans="1:112" ht="20" customHeight="1" x14ac:dyDescent="0.35">
      <c r="A52" s="301"/>
      <c r="B52" s="306" t="s">
        <v>1125</v>
      </c>
      <c r="C52" s="270" t="s">
        <v>1754</v>
      </c>
      <c r="D52" s="270" t="s">
        <v>513</v>
      </c>
      <c r="E52" s="270" t="s">
        <v>54</v>
      </c>
      <c r="F52" s="270" t="s">
        <v>1552</v>
      </c>
      <c r="G52" s="270" t="s">
        <v>31</v>
      </c>
      <c r="H52" s="298">
        <v>1.48</v>
      </c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286"/>
      <c r="U52" s="286"/>
      <c r="V52" s="294"/>
      <c r="W52" s="286"/>
      <c r="X52" s="286"/>
      <c r="Y52" s="286"/>
      <c r="Z52" s="286"/>
      <c r="AA52" s="286"/>
      <c r="AB52" s="286"/>
      <c r="AC52" s="286"/>
      <c r="AD52" s="286"/>
      <c r="AE52" s="286"/>
      <c r="AF52" s="286"/>
      <c r="AG52" s="286"/>
      <c r="AH52" s="286"/>
      <c r="AI52" s="286"/>
      <c r="AJ52" s="286"/>
      <c r="AK52" s="287"/>
      <c r="AL52" s="288"/>
      <c r="AM52" s="287"/>
      <c r="AN52" s="287"/>
      <c r="AO52" s="287"/>
      <c r="AP52" s="286"/>
      <c r="AQ52" s="296"/>
      <c r="AR52" s="286"/>
      <c r="AS52" s="286"/>
      <c r="AT52" s="286"/>
      <c r="AU52" s="286"/>
      <c r="AV52" s="286"/>
      <c r="AW52" s="286"/>
      <c r="AX52" s="286"/>
      <c r="AY52" s="286"/>
      <c r="AZ52" s="286"/>
      <c r="BA52" s="286"/>
      <c r="BB52" s="286"/>
      <c r="BC52" s="286"/>
      <c r="BD52" s="287"/>
      <c r="BE52" s="287"/>
      <c r="BF52" s="287"/>
      <c r="BG52" s="287"/>
      <c r="BH52" s="287"/>
      <c r="BI52" s="287"/>
      <c r="BJ52" s="287"/>
      <c r="BK52" s="287"/>
      <c r="BL52" s="287"/>
      <c r="BM52" s="287"/>
      <c r="BN52" s="287"/>
      <c r="BO52" s="287"/>
      <c r="BP52" s="287"/>
      <c r="BQ52" s="287"/>
      <c r="BR52" s="287"/>
      <c r="BS52" s="287"/>
      <c r="BT52" s="287"/>
      <c r="BU52" s="287"/>
      <c r="BV52" s="287"/>
      <c r="BW52" s="287"/>
      <c r="BX52" s="286"/>
      <c r="BY52" s="289"/>
      <c r="BZ52" s="289"/>
      <c r="CA52" s="289"/>
      <c r="CB52" s="289"/>
      <c r="CC52" s="289"/>
      <c r="CD52" s="289"/>
      <c r="CE52" s="289"/>
      <c r="CF52" s="289"/>
      <c r="CG52" s="287"/>
      <c r="CH52" s="287"/>
      <c r="CI52" s="287"/>
      <c r="CJ52" s="287"/>
      <c r="CK52" s="287"/>
      <c r="CL52" s="287"/>
      <c r="CM52" s="287"/>
      <c r="CN52" s="287"/>
      <c r="CO52" s="287"/>
      <c r="CP52" s="287"/>
      <c r="CQ52" s="287"/>
      <c r="CR52" s="287"/>
      <c r="CS52" s="6"/>
      <c r="CT52" s="6"/>
      <c r="CU52" s="6"/>
      <c r="CV52" s="6"/>
      <c r="CW52" s="6"/>
      <c r="CX52" s="6"/>
      <c r="CY52" s="6"/>
      <c r="CZ52" s="6"/>
      <c r="DA52" s="343">
        <f t="shared" si="0"/>
        <v>1.48</v>
      </c>
      <c r="DH52" s="238">
        <v>10</v>
      </c>
    </row>
    <row r="53" spans="1:112" ht="20" customHeight="1" x14ac:dyDescent="0.35">
      <c r="A53" s="301"/>
      <c r="B53" s="306" t="s">
        <v>1126</v>
      </c>
      <c r="C53" s="270" t="s">
        <v>1315</v>
      </c>
      <c r="D53" s="270" t="s">
        <v>513</v>
      </c>
      <c r="E53" s="270" t="s">
        <v>54</v>
      </c>
      <c r="F53" s="270" t="s">
        <v>1573</v>
      </c>
      <c r="G53" s="270" t="s">
        <v>31</v>
      </c>
      <c r="H53" s="298">
        <v>5.64</v>
      </c>
      <c r="I53" s="286"/>
      <c r="J53" s="286"/>
      <c r="K53" s="286"/>
      <c r="L53" s="286"/>
      <c r="M53" s="286"/>
      <c r="N53" s="286"/>
      <c r="O53" s="286"/>
      <c r="P53" s="286"/>
      <c r="Q53" s="286"/>
      <c r="R53" s="286"/>
      <c r="S53" s="286"/>
      <c r="T53" s="286"/>
      <c r="U53" s="286"/>
      <c r="V53" s="294"/>
      <c r="W53" s="286"/>
      <c r="X53" s="286"/>
      <c r="Y53" s="286"/>
      <c r="Z53" s="286"/>
      <c r="AA53" s="286"/>
      <c r="AB53" s="286"/>
      <c r="AC53" s="286"/>
      <c r="AD53" s="286"/>
      <c r="AE53" s="286"/>
      <c r="AF53" s="286"/>
      <c r="AG53" s="286"/>
      <c r="AH53" s="286"/>
      <c r="AI53" s="286"/>
      <c r="AJ53" s="286"/>
      <c r="AK53" s="287"/>
      <c r="AL53" s="288"/>
      <c r="AM53" s="287"/>
      <c r="AN53" s="287"/>
      <c r="AO53" s="287"/>
      <c r="AP53" s="286"/>
      <c r="AQ53" s="296"/>
      <c r="AR53" s="286"/>
      <c r="AS53" s="286"/>
      <c r="AT53" s="286"/>
      <c r="AU53" s="286"/>
      <c r="AV53" s="286"/>
      <c r="AW53" s="286"/>
      <c r="AX53" s="286"/>
      <c r="AY53" s="286"/>
      <c r="AZ53" s="286"/>
      <c r="BA53" s="286"/>
      <c r="BB53" s="286"/>
      <c r="BC53" s="286"/>
      <c r="BD53" s="287"/>
      <c r="BE53" s="287"/>
      <c r="BF53" s="287"/>
      <c r="BG53" s="288">
        <v>15</v>
      </c>
      <c r="BH53" s="287"/>
      <c r="BI53" s="287"/>
      <c r="BJ53" s="287"/>
      <c r="BK53" s="287"/>
      <c r="BL53" s="287"/>
      <c r="BM53" s="287"/>
      <c r="BN53" s="287"/>
      <c r="BO53" s="287"/>
      <c r="BP53" s="287"/>
      <c r="BQ53" s="287"/>
      <c r="BR53" s="287"/>
      <c r="BS53" s="287"/>
      <c r="BT53" s="287"/>
      <c r="BU53" s="287"/>
      <c r="BV53" s="287"/>
      <c r="BW53" s="287"/>
      <c r="BX53" s="286"/>
      <c r="BY53" s="289"/>
      <c r="BZ53" s="289"/>
      <c r="CA53" s="289"/>
      <c r="CB53" s="289"/>
      <c r="CC53" s="289"/>
      <c r="CD53" s="289"/>
      <c r="CE53" s="289"/>
      <c r="CF53" s="289"/>
      <c r="CG53" s="287"/>
      <c r="CH53" s="287"/>
      <c r="CI53" s="287"/>
      <c r="CJ53" s="287"/>
      <c r="CK53" s="287"/>
      <c r="CL53" s="287"/>
      <c r="CM53" s="287"/>
      <c r="CN53" s="287"/>
      <c r="CO53" s="287"/>
      <c r="CP53" s="287"/>
      <c r="CQ53" s="287"/>
      <c r="CR53" s="287"/>
      <c r="CS53" s="6"/>
      <c r="CT53" s="6"/>
      <c r="CU53" s="6"/>
      <c r="CV53" s="6"/>
      <c r="CW53" s="6"/>
      <c r="CX53" s="6"/>
      <c r="CY53" s="6"/>
      <c r="CZ53" s="6"/>
      <c r="DA53" s="343">
        <f t="shared" si="0"/>
        <v>5.64</v>
      </c>
      <c r="DH53" s="238">
        <v>10.5</v>
      </c>
    </row>
    <row r="54" spans="1:112" ht="20" customHeight="1" x14ac:dyDescent="0.35">
      <c r="A54" s="301"/>
      <c r="B54" s="306" t="s">
        <v>1127</v>
      </c>
      <c r="C54" s="270" t="s">
        <v>1574</v>
      </c>
      <c r="D54" s="270" t="s">
        <v>513</v>
      </c>
      <c r="E54" s="270" t="s">
        <v>54</v>
      </c>
      <c r="F54" s="270" t="s">
        <v>1111</v>
      </c>
      <c r="G54" s="270" t="s">
        <v>31</v>
      </c>
      <c r="H54" s="298"/>
      <c r="I54" s="286"/>
      <c r="J54" s="286"/>
      <c r="K54" s="286"/>
      <c r="L54" s="286"/>
      <c r="M54" s="286"/>
      <c r="N54" s="286"/>
      <c r="O54" s="286"/>
      <c r="P54" s="286"/>
      <c r="Q54" s="286"/>
      <c r="R54" s="286"/>
      <c r="S54" s="286"/>
      <c r="T54" s="286"/>
      <c r="U54" s="286"/>
      <c r="V54" s="294"/>
      <c r="W54" s="286"/>
      <c r="X54" s="286"/>
      <c r="Y54" s="286"/>
      <c r="Z54" s="286"/>
      <c r="AA54" s="286"/>
      <c r="AB54" s="286"/>
      <c r="AC54" s="286"/>
      <c r="AD54" s="286"/>
      <c r="AE54" s="286"/>
      <c r="AF54" s="286"/>
      <c r="AG54" s="286"/>
      <c r="AH54" s="286"/>
      <c r="AI54" s="286"/>
      <c r="AJ54" s="286"/>
      <c r="AK54" s="287"/>
      <c r="AL54" s="288"/>
      <c r="AM54" s="287"/>
      <c r="AN54" s="287"/>
      <c r="AO54" s="287"/>
      <c r="AP54" s="286"/>
      <c r="AQ54" s="296"/>
      <c r="AR54" s="286"/>
      <c r="AS54" s="286"/>
      <c r="AT54" s="286"/>
      <c r="AU54" s="286"/>
      <c r="AV54" s="286"/>
      <c r="AW54" s="286"/>
      <c r="AX54" s="286"/>
      <c r="AY54" s="286"/>
      <c r="AZ54" s="286"/>
      <c r="BA54" s="286"/>
      <c r="BB54" s="286"/>
      <c r="BC54" s="286"/>
      <c r="BD54" s="287"/>
      <c r="BE54" s="287"/>
      <c r="BF54" s="287"/>
      <c r="BG54" s="287"/>
      <c r="BH54" s="287"/>
      <c r="BI54" s="287"/>
      <c r="BJ54" s="287"/>
      <c r="BK54" s="287"/>
      <c r="BL54" s="287"/>
      <c r="BM54" s="287"/>
      <c r="BN54" s="287"/>
      <c r="BO54" s="287"/>
      <c r="BP54" s="287"/>
      <c r="BQ54" s="287"/>
      <c r="BR54" s="287"/>
      <c r="BS54" s="287"/>
      <c r="BT54" s="287"/>
      <c r="BU54" s="287"/>
      <c r="BV54" s="287"/>
      <c r="BW54" s="287"/>
      <c r="BX54" s="286"/>
      <c r="BY54" s="289"/>
      <c r="BZ54" s="289"/>
      <c r="CA54" s="289"/>
      <c r="CB54" s="289"/>
      <c r="CC54" s="289"/>
      <c r="CD54" s="289"/>
      <c r="CE54" s="289"/>
      <c r="CF54" s="289"/>
      <c r="CG54" s="287"/>
      <c r="CH54" s="287"/>
      <c r="CI54" s="287"/>
      <c r="CJ54" s="287"/>
      <c r="CK54" s="287"/>
      <c r="CL54" s="287"/>
      <c r="CM54" s="287"/>
      <c r="CN54" s="287"/>
      <c r="CO54" s="287"/>
      <c r="CP54" s="287"/>
      <c r="CQ54" s="287"/>
      <c r="CR54" s="287"/>
      <c r="CS54" s="6"/>
      <c r="CT54" s="6"/>
      <c r="CU54" s="6"/>
      <c r="CV54" s="6"/>
      <c r="CW54" s="6"/>
      <c r="CX54" s="6"/>
      <c r="CY54" s="6"/>
      <c r="CZ54" s="6"/>
      <c r="DA54" s="343">
        <f t="shared" si="0"/>
        <v>0</v>
      </c>
      <c r="DH54" s="238">
        <v>11</v>
      </c>
    </row>
    <row r="55" spans="1:112" ht="20" customHeight="1" x14ac:dyDescent="0.35">
      <c r="A55" s="301"/>
      <c r="B55" s="306" t="s">
        <v>1192</v>
      </c>
      <c r="C55" s="270" t="s">
        <v>1960</v>
      </c>
      <c r="D55" s="270" t="s">
        <v>513</v>
      </c>
      <c r="E55" s="270" t="s">
        <v>54</v>
      </c>
      <c r="F55" s="270" t="s">
        <v>1961</v>
      </c>
      <c r="G55" s="270" t="s">
        <v>1962</v>
      </c>
      <c r="H55" s="298">
        <f>0.5</f>
        <v>0.5</v>
      </c>
      <c r="I55" s="286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286"/>
      <c r="U55" s="286"/>
      <c r="V55" s="294"/>
      <c r="W55" s="286"/>
      <c r="X55" s="286"/>
      <c r="Y55" s="286"/>
      <c r="Z55" s="286"/>
      <c r="AA55" s="286"/>
      <c r="AB55" s="286"/>
      <c r="AC55" s="286"/>
      <c r="AD55" s="286"/>
      <c r="AE55" s="286"/>
      <c r="AF55" s="286"/>
      <c r="AG55" s="286"/>
      <c r="AH55" s="286"/>
      <c r="AI55" s="286"/>
      <c r="AJ55" s="286"/>
      <c r="AK55" s="287"/>
      <c r="AL55" s="288"/>
      <c r="AM55" s="287"/>
      <c r="AN55" s="287"/>
      <c r="AO55" s="287"/>
      <c r="AP55" s="286"/>
      <c r="AQ55" s="296"/>
      <c r="AR55" s="286"/>
      <c r="AS55" s="286"/>
      <c r="AT55" s="286"/>
      <c r="AU55" s="286"/>
      <c r="AV55" s="286"/>
      <c r="AW55" s="286"/>
      <c r="AX55" s="286"/>
      <c r="AY55" s="286"/>
      <c r="AZ55" s="286"/>
      <c r="BA55" s="286"/>
      <c r="BB55" s="286"/>
      <c r="BC55" s="286"/>
      <c r="BD55" s="287"/>
      <c r="BE55" s="287"/>
      <c r="BF55" s="287"/>
      <c r="BG55" s="287"/>
      <c r="BH55" s="287"/>
      <c r="BI55" s="287"/>
      <c r="BJ55" s="287"/>
      <c r="BK55" s="287"/>
      <c r="BL55" s="287"/>
      <c r="BM55" s="287"/>
      <c r="BN55" s="287"/>
      <c r="BO55" s="287"/>
      <c r="BP55" s="287"/>
      <c r="BQ55" s="287"/>
      <c r="BR55" s="287"/>
      <c r="BS55" s="287"/>
      <c r="BT55" s="287"/>
      <c r="BU55" s="287"/>
      <c r="BV55" s="287"/>
      <c r="BW55" s="287"/>
      <c r="BX55" s="286"/>
      <c r="BY55" s="289"/>
      <c r="BZ55" s="289"/>
      <c r="CA55" s="289"/>
      <c r="CB55" s="289"/>
      <c r="CC55" s="289"/>
      <c r="CD55" s="289"/>
      <c r="CE55" s="289"/>
      <c r="CF55" s="289"/>
      <c r="CG55" s="287"/>
      <c r="CH55" s="287"/>
      <c r="CI55" s="287"/>
      <c r="CJ55" s="287"/>
      <c r="CK55" s="287"/>
      <c r="CL55" s="287"/>
      <c r="CM55" s="287"/>
      <c r="CN55" s="287"/>
      <c r="CO55" s="287"/>
      <c r="CP55" s="287"/>
      <c r="CQ55" s="287"/>
      <c r="CR55" s="287"/>
      <c r="CS55" s="6"/>
      <c r="CT55" s="6"/>
      <c r="CU55" s="6"/>
      <c r="CV55" s="6"/>
      <c r="CW55" s="6"/>
      <c r="CX55" s="6"/>
      <c r="CY55" s="6"/>
      <c r="CZ55" s="6"/>
      <c r="DA55" s="343">
        <f t="shared" si="0"/>
        <v>0.5</v>
      </c>
      <c r="DH55" s="238">
        <v>10.5</v>
      </c>
    </row>
    <row r="56" spans="1:112" ht="20" customHeight="1" x14ac:dyDescent="0.35">
      <c r="A56" s="301"/>
      <c r="B56" s="306" t="s">
        <v>1124</v>
      </c>
      <c r="C56" s="270" t="s">
        <v>1548</v>
      </c>
      <c r="D56" s="270" t="s">
        <v>513</v>
      </c>
      <c r="E56" s="270" t="s">
        <v>54</v>
      </c>
      <c r="F56" s="270" t="s">
        <v>1111</v>
      </c>
      <c r="G56" s="270" t="s">
        <v>31</v>
      </c>
      <c r="H56" s="298"/>
      <c r="I56" s="286"/>
      <c r="J56" s="286"/>
      <c r="K56" s="286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294"/>
      <c r="W56" s="286"/>
      <c r="X56" s="286"/>
      <c r="Y56" s="286"/>
      <c r="Z56" s="286"/>
      <c r="AA56" s="286"/>
      <c r="AB56" s="286"/>
      <c r="AC56" s="286"/>
      <c r="AD56" s="286"/>
      <c r="AE56" s="286"/>
      <c r="AF56" s="286">
        <v>5.5</v>
      </c>
      <c r="AG56" s="286"/>
      <c r="AH56" s="286"/>
      <c r="AI56" s="286"/>
      <c r="AJ56" s="286"/>
      <c r="AK56" s="295"/>
      <c r="AL56" s="288"/>
      <c r="AM56" s="287"/>
      <c r="AN56" s="287"/>
      <c r="AO56" s="287"/>
      <c r="AP56" s="286"/>
      <c r="AQ56" s="296"/>
      <c r="AR56" s="286"/>
      <c r="AS56" s="286"/>
      <c r="AT56" s="286"/>
      <c r="AU56" s="286"/>
      <c r="AV56" s="286"/>
      <c r="AW56" s="286"/>
      <c r="AX56" s="286"/>
      <c r="AY56" s="286"/>
      <c r="AZ56" s="286"/>
      <c r="BA56" s="286"/>
      <c r="BB56" s="286"/>
      <c r="BC56" s="286"/>
      <c r="BD56" s="287"/>
      <c r="BE56" s="287"/>
      <c r="BF56" s="287"/>
      <c r="BG56" s="288">
        <v>3.5</v>
      </c>
      <c r="BH56" s="287"/>
      <c r="BI56" s="287"/>
      <c r="BJ56" s="287"/>
      <c r="BK56" s="287"/>
      <c r="BL56" s="287"/>
      <c r="BM56" s="287"/>
      <c r="BN56" s="287"/>
      <c r="BO56" s="287"/>
      <c r="BP56" s="287"/>
      <c r="BQ56" s="287"/>
      <c r="BR56" s="287"/>
      <c r="BS56" s="287"/>
      <c r="BT56" s="287"/>
      <c r="BU56" s="287"/>
      <c r="BV56" s="287"/>
      <c r="BW56" s="287"/>
      <c r="BX56" s="286"/>
      <c r="BY56" s="289"/>
      <c r="BZ56" s="289"/>
      <c r="CA56" s="289"/>
      <c r="CB56" s="289"/>
      <c r="CC56" s="289"/>
      <c r="CD56" s="289"/>
      <c r="CE56" s="289"/>
      <c r="CF56" s="289"/>
      <c r="CG56" s="287"/>
      <c r="CH56" s="287"/>
      <c r="CI56" s="287"/>
      <c r="CJ56" s="287"/>
      <c r="CK56" s="287"/>
      <c r="CL56" s="287"/>
      <c r="CM56" s="287"/>
      <c r="CN56" s="287"/>
      <c r="CO56" s="287"/>
      <c r="CP56" s="287"/>
      <c r="CQ56" s="287"/>
      <c r="CR56" s="287"/>
      <c r="CS56" s="6"/>
      <c r="CT56" s="6"/>
      <c r="CU56" s="6"/>
      <c r="CV56" s="6"/>
      <c r="CW56" s="6"/>
      <c r="CX56" s="6"/>
      <c r="CY56" s="6"/>
      <c r="CZ56" s="6"/>
      <c r="DA56" s="343">
        <f t="shared" si="0"/>
        <v>0</v>
      </c>
      <c r="DH56" s="238">
        <v>13</v>
      </c>
    </row>
    <row r="57" spans="1:112" ht="20" customHeight="1" x14ac:dyDescent="0.35">
      <c r="A57" s="301"/>
      <c r="B57" s="306" t="s">
        <v>1193</v>
      </c>
      <c r="C57" s="270" t="s">
        <v>1548</v>
      </c>
      <c r="D57" s="270" t="s">
        <v>513</v>
      </c>
      <c r="E57" s="270" t="s">
        <v>54</v>
      </c>
      <c r="F57" s="270" t="s">
        <v>62</v>
      </c>
      <c r="G57" s="270" t="s">
        <v>31</v>
      </c>
      <c r="H57" s="298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94"/>
      <c r="W57" s="286"/>
      <c r="X57" s="286"/>
      <c r="Y57" s="286"/>
      <c r="Z57" s="286"/>
      <c r="AA57" s="286"/>
      <c r="AB57" s="286"/>
      <c r="AC57" s="286"/>
      <c r="AD57" s="286"/>
      <c r="AE57" s="286"/>
      <c r="AF57" s="286"/>
      <c r="AG57" s="286"/>
      <c r="AH57" s="286"/>
      <c r="AI57" s="286"/>
      <c r="AJ57" s="286"/>
      <c r="AK57" s="287"/>
      <c r="AL57" s="288"/>
      <c r="AM57" s="287"/>
      <c r="AN57" s="287"/>
      <c r="AO57" s="287"/>
      <c r="AP57" s="286"/>
      <c r="AQ57" s="296"/>
      <c r="AR57" s="286"/>
      <c r="AS57" s="286"/>
      <c r="AT57" s="286"/>
      <c r="AU57" s="286"/>
      <c r="AV57" s="286"/>
      <c r="AW57" s="286"/>
      <c r="AX57" s="286"/>
      <c r="AY57" s="286"/>
      <c r="AZ57" s="286"/>
      <c r="BA57" s="286"/>
      <c r="BB57" s="286"/>
      <c r="BC57" s="286"/>
      <c r="BD57" s="287"/>
      <c r="BE57" s="287"/>
      <c r="BF57" s="287"/>
      <c r="BG57" s="287"/>
      <c r="BH57" s="287"/>
      <c r="BI57" s="287"/>
      <c r="BJ57" s="287"/>
      <c r="BK57" s="287"/>
      <c r="BL57" s="287"/>
      <c r="BM57" s="287"/>
      <c r="BN57" s="287"/>
      <c r="BO57" s="287"/>
      <c r="BP57" s="287"/>
      <c r="BQ57" s="287"/>
      <c r="BR57" s="287"/>
      <c r="BS57" s="287"/>
      <c r="BT57" s="287"/>
      <c r="BU57" s="287"/>
      <c r="BV57" s="287"/>
      <c r="BW57" s="287"/>
      <c r="BX57" s="286"/>
      <c r="BY57" s="289"/>
      <c r="BZ57" s="289"/>
      <c r="CA57" s="289"/>
      <c r="CB57" s="289"/>
      <c r="CC57" s="289"/>
      <c r="CD57" s="289"/>
      <c r="CE57" s="289"/>
      <c r="CF57" s="289"/>
      <c r="CG57" s="287"/>
      <c r="CH57" s="287"/>
      <c r="CI57" s="287"/>
      <c r="CJ57" s="287"/>
      <c r="CK57" s="287"/>
      <c r="CL57" s="287"/>
      <c r="CM57" s="287"/>
      <c r="CN57" s="287"/>
      <c r="CO57" s="287"/>
      <c r="CP57" s="287"/>
      <c r="CQ57" s="287"/>
      <c r="CR57" s="287"/>
      <c r="CS57" s="6"/>
      <c r="CT57" s="6"/>
      <c r="CU57" s="6"/>
      <c r="CV57" s="6"/>
      <c r="CW57" s="6"/>
      <c r="CX57" s="6"/>
      <c r="CY57" s="6"/>
      <c r="CZ57" s="6"/>
      <c r="DA57" s="343">
        <f t="shared" si="0"/>
        <v>0</v>
      </c>
      <c r="DH57" s="238">
        <v>14</v>
      </c>
    </row>
    <row r="58" spans="1:112" ht="20" customHeight="1" x14ac:dyDescent="0.35">
      <c r="A58" s="301"/>
      <c r="B58" s="270" t="s">
        <v>1128</v>
      </c>
      <c r="C58" s="270" t="s">
        <v>1549</v>
      </c>
      <c r="D58" s="297" t="s">
        <v>513</v>
      </c>
      <c r="E58" s="270" t="s">
        <v>54</v>
      </c>
      <c r="F58" s="270" t="s">
        <v>759</v>
      </c>
      <c r="G58" s="270" t="s">
        <v>31</v>
      </c>
      <c r="H58" s="298"/>
      <c r="I58" s="286"/>
      <c r="J58" s="286"/>
      <c r="K58" s="286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294"/>
      <c r="W58" s="286"/>
      <c r="X58" s="286"/>
      <c r="Y58" s="286"/>
      <c r="Z58" s="286"/>
      <c r="AA58" s="286"/>
      <c r="AB58" s="286"/>
      <c r="AC58" s="286"/>
      <c r="AD58" s="286"/>
      <c r="AE58" s="286"/>
      <c r="AF58" s="286"/>
      <c r="AG58" s="286"/>
      <c r="AH58" s="286"/>
      <c r="AI58" s="286"/>
      <c r="AJ58" s="286"/>
      <c r="AK58" s="287"/>
      <c r="AL58" s="288"/>
      <c r="AM58" s="287"/>
      <c r="AN58" s="287"/>
      <c r="AO58" s="287"/>
      <c r="AP58" s="286"/>
      <c r="AQ58" s="296"/>
      <c r="AR58" s="286"/>
      <c r="AS58" s="286"/>
      <c r="AT58" s="286"/>
      <c r="AU58" s="286"/>
      <c r="AV58" s="286"/>
      <c r="AW58" s="286"/>
      <c r="AX58" s="286"/>
      <c r="AY58" s="286"/>
      <c r="AZ58" s="286"/>
      <c r="BA58" s="286"/>
      <c r="BB58" s="286"/>
      <c r="BC58" s="286"/>
      <c r="BD58" s="287"/>
      <c r="BE58" s="287"/>
      <c r="BF58" s="287"/>
      <c r="BG58" s="287"/>
      <c r="BH58" s="287"/>
      <c r="BI58" s="287"/>
      <c r="BJ58" s="287"/>
      <c r="BK58" s="287"/>
      <c r="BL58" s="287"/>
      <c r="BM58" s="287"/>
      <c r="BN58" s="287"/>
      <c r="BO58" s="287"/>
      <c r="BP58" s="287"/>
      <c r="BQ58" s="287"/>
      <c r="BR58" s="287"/>
      <c r="BS58" s="287"/>
      <c r="BT58" s="287"/>
      <c r="BU58" s="287"/>
      <c r="BV58" s="287"/>
      <c r="BW58" s="287"/>
      <c r="BX58" s="286"/>
      <c r="BY58" s="289"/>
      <c r="BZ58" s="289"/>
      <c r="CA58" s="289"/>
      <c r="CB58" s="289"/>
      <c r="CC58" s="289"/>
      <c r="CD58" s="289"/>
      <c r="CE58" s="289"/>
      <c r="CF58" s="289"/>
      <c r="CG58" s="287"/>
      <c r="CH58" s="287"/>
      <c r="CI58" s="287"/>
      <c r="CJ58" s="287"/>
      <c r="CK58" s="287"/>
      <c r="CL58" s="287"/>
      <c r="CM58" s="287"/>
      <c r="CN58" s="287"/>
      <c r="CO58" s="287"/>
      <c r="CP58" s="287"/>
      <c r="CQ58" s="287"/>
      <c r="CR58" s="287"/>
      <c r="CS58" s="6"/>
      <c r="CT58" s="6"/>
      <c r="CU58" s="6"/>
      <c r="CV58" s="6"/>
      <c r="CW58" s="6"/>
      <c r="CX58" s="6"/>
      <c r="CY58" s="6"/>
      <c r="CZ58" s="6"/>
      <c r="DA58" s="343">
        <f t="shared" si="0"/>
        <v>0</v>
      </c>
      <c r="DH58" s="238">
        <v>17</v>
      </c>
    </row>
    <row r="59" spans="1:112" ht="20" customHeight="1" x14ac:dyDescent="0.35">
      <c r="A59" s="301"/>
      <c r="B59" s="270" t="s">
        <v>1194</v>
      </c>
      <c r="C59" s="270" t="s">
        <v>1556</v>
      </c>
      <c r="D59" s="297" t="s">
        <v>513</v>
      </c>
      <c r="E59" s="270" t="s">
        <v>54</v>
      </c>
      <c r="F59" s="270" t="s">
        <v>1111</v>
      </c>
      <c r="G59" s="270" t="s">
        <v>31</v>
      </c>
      <c r="H59" s="298"/>
      <c r="I59" s="286"/>
      <c r="J59" s="286"/>
      <c r="K59" s="286"/>
      <c r="L59" s="286"/>
      <c r="M59" s="286"/>
      <c r="N59" s="286"/>
      <c r="O59" s="286"/>
      <c r="P59" s="286"/>
      <c r="Q59" s="286"/>
      <c r="R59" s="286"/>
      <c r="S59" s="286"/>
      <c r="T59" s="286"/>
      <c r="U59" s="286"/>
      <c r="V59" s="294"/>
      <c r="W59" s="286"/>
      <c r="X59" s="286"/>
      <c r="Y59" s="286"/>
      <c r="Z59" s="286"/>
      <c r="AA59" s="286"/>
      <c r="AB59" s="286"/>
      <c r="AC59" s="286"/>
      <c r="AD59" s="286"/>
      <c r="AE59" s="286"/>
      <c r="AF59" s="286"/>
      <c r="AG59" s="286"/>
      <c r="AH59" s="286"/>
      <c r="AI59" s="286"/>
      <c r="AJ59" s="286"/>
      <c r="AK59" s="287"/>
      <c r="AL59" s="288"/>
      <c r="AM59" s="287"/>
      <c r="AN59" s="287"/>
      <c r="AO59" s="287"/>
      <c r="AP59" s="286"/>
      <c r="AQ59" s="296"/>
      <c r="AR59" s="286"/>
      <c r="AS59" s="286"/>
      <c r="AT59" s="286"/>
      <c r="AU59" s="286"/>
      <c r="AV59" s="286"/>
      <c r="AW59" s="286"/>
      <c r="AX59" s="286"/>
      <c r="AY59" s="286"/>
      <c r="AZ59" s="286"/>
      <c r="BA59" s="286"/>
      <c r="BB59" s="286"/>
      <c r="BC59" s="286"/>
      <c r="BD59" s="287"/>
      <c r="BE59" s="287"/>
      <c r="BF59" s="287"/>
      <c r="BG59" s="287"/>
      <c r="BH59" s="287"/>
      <c r="BI59" s="287"/>
      <c r="BJ59" s="287"/>
      <c r="BK59" s="287"/>
      <c r="BL59" s="287"/>
      <c r="BM59" s="287"/>
      <c r="BN59" s="287"/>
      <c r="BO59" s="287"/>
      <c r="BP59" s="287"/>
      <c r="BQ59" s="287"/>
      <c r="BR59" s="287"/>
      <c r="BS59" s="287"/>
      <c r="BT59" s="287"/>
      <c r="BU59" s="287"/>
      <c r="BV59" s="287"/>
      <c r="BW59" s="287"/>
      <c r="BX59" s="286"/>
      <c r="BY59" s="289"/>
      <c r="BZ59" s="289"/>
      <c r="CA59" s="289"/>
      <c r="CB59" s="289"/>
      <c r="CC59" s="289"/>
      <c r="CD59" s="289"/>
      <c r="CE59" s="289"/>
      <c r="CF59" s="289"/>
      <c r="CG59" s="287"/>
      <c r="CH59" s="287"/>
      <c r="CI59" s="287"/>
      <c r="CJ59" s="287"/>
      <c r="CK59" s="287"/>
      <c r="CL59" s="287"/>
      <c r="CM59" s="287"/>
      <c r="CN59" s="287"/>
      <c r="CO59" s="287"/>
      <c r="CP59" s="287"/>
      <c r="CQ59" s="287"/>
      <c r="CR59" s="287"/>
      <c r="CS59" s="6"/>
      <c r="CT59" s="6"/>
      <c r="CU59" s="6"/>
      <c r="CV59" s="6"/>
      <c r="CW59" s="6"/>
      <c r="CX59" s="6"/>
      <c r="CY59" s="6"/>
      <c r="CZ59" s="6"/>
      <c r="DA59" s="343">
        <f t="shared" si="0"/>
        <v>0</v>
      </c>
      <c r="DH59" s="238">
        <v>25</v>
      </c>
    </row>
    <row r="60" spans="1:112" ht="20" customHeight="1" x14ac:dyDescent="0.35">
      <c r="A60" s="301"/>
      <c r="B60" s="270" t="s">
        <v>1198</v>
      </c>
      <c r="C60" s="270" t="s">
        <v>2220</v>
      </c>
      <c r="D60" s="297" t="s">
        <v>604</v>
      </c>
      <c r="E60" s="270" t="s">
        <v>1204</v>
      </c>
      <c r="F60" s="270" t="s">
        <v>1575</v>
      </c>
      <c r="G60" s="270" t="s">
        <v>38</v>
      </c>
      <c r="H60" s="298">
        <v>9</v>
      </c>
      <c r="I60" s="286"/>
      <c r="J60" s="286"/>
      <c r="K60" s="286"/>
      <c r="L60" s="286"/>
      <c r="M60" s="286"/>
      <c r="N60" s="286"/>
      <c r="O60" s="286"/>
      <c r="P60" s="286"/>
      <c r="Q60" s="286"/>
      <c r="R60" s="286"/>
      <c r="S60" s="286"/>
      <c r="T60" s="286"/>
      <c r="U60" s="286"/>
      <c r="V60" s="294"/>
      <c r="W60" s="286"/>
      <c r="X60" s="286"/>
      <c r="Y60" s="286"/>
      <c r="Z60" s="286"/>
      <c r="AA60" s="286">
        <v>12</v>
      </c>
      <c r="AB60" s="286"/>
      <c r="AC60" s="286"/>
      <c r="AD60" s="286"/>
      <c r="AE60" s="286"/>
      <c r="AF60" s="286"/>
      <c r="AG60" s="286"/>
      <c r="AH60" s="286"/>
      <c r="AI60" s="286"/>
      <c r="AJ60" s="286"/>
      <c r="AK60" s="287"/>
      <c r="AL60" s="288"/>
      <c r="AM60" s="287"/>
      <c r="AN60" s="287"/>
      <c r="AO60" s="287"/>
      <c r="AP60" s="286"/>
      <c r="AQ60" s="296"/>
      <c r="AR60" s="286"/>
      <c r="AS60" s="286"/>
      <c r="AT60" s="286"/>
      <c r="AU60" s="286"/>
      <c r="AV60" s="286"/>
      <c r="AW60" s="286"/>
      <c r="AX60" s="286"/>
      <c r="AY60" s="286"/>
      <c r="AZ60" s="286"/>
      <c r="BA60" s="286"/>
      <c r="BB60" s="286"/>
      <c r="BC60" s="286"/>
      <c r="BD60" s="287"/>
      <c r="BE60" s="287"/>
      <c r="BF60" s="287"/>
      <c r="BG60" s="288">
        <v>12</v>
      </c>
      <c r="BH60" s="287"/>
      <c r="BI60" s="287"/>
      <c r="BJ60" s="287"/>
      <c r="BK60" s="287"/>
      <c r="BL60" s="287"/>
      <c r="BM60" s="287"/>
      <c r="BN60" s="287"/>
      <c r="BO60" s="287"/>
      <c r="BP60" s="287"/>
      <c r="BQ60" s="287"/>
      <c r="BR60" s="287"/>
      <c r="BS60" s="287"/>
      <c r="BT60" s="287"/>
      <c r="BU60" s="287"/>
      <c r="BV60" s="287"/>
      <c r="BW60" s="287"/>
      <c r="BX60" s="286"/>
      <c r="BY60" s="289"/>
      <c r="BZ60" s="289"/>
      <c r="CA60" s="289"/>
      <c r="CB60" s="289"/>
      <c r="CC60" s="289"/>
      <c r="CD60" s="289"/>
      <c r="CE60" s="289"/>
      <c r="CF60" s="289">
        <v>12.8</v>
      </c>
      <c r="CG60" s="287"/>
      <c r="CH60" s="287"/>
      <c r="CI60" s="287"/>
      <c r="CJ60" s="287"/>
      <c r="CK60" s="287"/>
      <c r="CL60" s="287"/>
      <c r="CM60" s="287"/>
      <c r="CN60" s="287"/>
      <c r="CO60" s="287"/>
      <c r="CP60" s="287"/>
      <c r="CQ60" s="287"/>
      <c r="CR60" s="287"/>
      <c r="CS60" s="6"/>
      <c r="CT60" s="6"/>
      <c r="CU60" s="6"/>
      <c r="CV60" s="6"/>
      <c r="CW60" s="6"/>
      <c r="CX60" s="6"/>
      <c r="CY60" s="6"/>
      <c r="CZ60" s="6"/>
      <c r="DA60" s="343">
        <f t="shared" si="0"/>
        <v>9</v>
      </c>
      <c r="DH60" s="238">
        <v>5</v>
      </c>
    </row>
    <row r="61" spans="1:112" ht="20" customHeight="1" x14ac:dyDescent="0.35">
      <c r="A61" s="301"/>
      <c r="B61" s="270" t="s">
        <v>1199</v>
      </c>
      <c r="C61" s="270" t="s">
        <v>1576</v>
      </c>
      <c r="D61" s="297" t="s">
        <v>604</v>
      </c>
      <c r="E61" s="270" t="s">
        <v>1204</v>
      </c>
      <c r="F61" s="270" t="s">
        <v>1575</v>
      </c>
      <c r="G61" s="270" t="s">
        <v>38</v>
      </c>
      <c r="H61" s="298">
        <v>9</v>
      </c>
      <c r="I61" s="286"/>
      <c r="J61" s="286"/>
      <c r="K61" s="286"/>
      <c r="L61" s="286"/>
      <c r="M61" s="286"/>
      <c r="N61" s="286"/>
      <c r="O61" s="286"/>
      <c r="P61" s="286"/>
      <c r="Q61" s="286"/>
      <c r="R61" s="286"/>
      <c r="S61" s="286"/>
      <c r="T61" s="286"/>
      <c r="U61" s="286"/>
      <c r="V61" s="294"/>
      <c r="W61" s="286"/>
      <c r="X61" s="286"/>
      <c r="Y61" s="286"/>
      <c r="Z61" s="286"/>
      <c r="AA61" s="286">
        <v>12</v>
      </c>
      <c r="AB61" s="286"/>
      <c r="AC61" s="286"/>
      <c r="AD61" s="286"/>
      <c r="AE61" s="286"/>
      <c r="AF61" s="286"/>
      <c r="AG61" s="286"/>
      <c r="AH61" s="286"/>
      <c r="AI61" s="286"/>
      <c r="AJ61" s="286"/>
      <c r="AK61" s="287"/>
      <c r="AL61" s="288"/>
      <c r="AM61" s="287"/>
      <c r="AN61" s="287"/>
      <c r="AO61" s="287"/>
      <c r="AP61" s="286"/>
      <c r="AQ61" s="296"/>
      <c r="AR61" s="286"/>
      <c r="AS61" s="286"/>
      <c r="AT61" s="286"/>
      <c r="AU61" s="286"/>
      <c r="AV61" s="286"/>
      <c r="AW61" s="286"/>
      <c r="AX61" s="286"/>
      <c r="AY61" s="286"/>
      <c r="AZ61" s="286"/>
      <c r="BA61" s="286"/>
      <c r="BB61" s="286"/>
      <c r="BC61" s="286"/>
      <c r="BD61" s="287"/>
      <c r="BE61" s="287"/>
      <c r="BF61" s="287"/>
      <c r="BG61" s="288">
        <v>12</v>
      </c>
      <c r="BH61" s="287"/>
      <c r="BI61" s="287"/>
      <c r="BJ61" s="287"/>
      <c r="BK61" s="287"/>
      <c r="BL61" s="287"/>
      <c r="BM61" s="287"/>
      <c r="BN61" s="287"/>
      <c r="BO61" s="287"/>
      <c r="BP61" s="287"/>
      <c r="BQ61" s="287"/>
      <c r="BR61" s="287"/>
      <c r="BS61" s="287"/>
      <c r="BT61" s="287"/>
      <c r="BU61" s="287"/>
      <c r="BV61" s="287"/>
      <c r="BW61" s="287"/>
      <c r="BX61" s="286"/>
      <c r="BY61" s="289"/>
      <c r="BZ61" s="289"/>
      <c r="CA61" s="289"/>
      <c r="CB61" s="289"/>
      <c r="CC61" s="289"/>
      <c r="CD61" s="289"/>
      <c r="CE61" s="289"/>
      <c r="CF61" s="289">
        <v>12.8</v>
      </c>
      <c r="CG61" s="287"/>
      <c r="CH61" s="287"/>
      <c r="CI61" s="287"/>
      <c r="CJ61" s="287"/>
      <c r="CK61" s="287"/>
      <c r="CL61" s="287"/>
      <c r="CM61" s="287"/>
      <c r="CN61" s="287"/>
      <c r="CO61" s="287"/>
      <c r="CP61" s="287"/>
      <c r="CQ61" s="287"/>
      <c r="CR61" s="287"/>
      <c r="CS61" s="6"/>
      <c r="CT61" s="6"/>
      <c r="CU61" s="6"/>
      <c r="CV61" s="6"/>
      <c r="CW61" s="6"/>
      <c r="CX61" s="6"/>
      <c r="CY61" s="6"/>
      <c r="CZ61" s="6"/>
      <c r="DA61" s="343">
        <f t="shared" si="0"/>
        <v>9</v>
      </c>
      <c r="DH61" s="238">
        <v>7.5</v>
      </c>
    </row>
    <row r="62" spans="1:112" ht="20" customHeight="1" x14ac:dyDescent="0.35">
      <c r="A62" s="301" t="s">
        <v>1251</v>
      </c>
      <c r="B62" s="270" t="s">
        <v>1200</v>
      </c>
      <c r="C62" s="270" t="s">
        <v>1577</v>
      </c>
      <c r="D62" s="297" t="s">
        <v>604</v>
      </c>
      <c r="E62" s="270" t="s">
        <v>1204</v>
      </c>
      <c r="F62" s="270" t="s">
        <v>1575</v>
      </c>
      <c r="G62" s="270" t="s">
        <v>38</v>
      </c>
      <c r="H62" s="298">
        <v>9</v>
      </c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94"/>
      <c r="W62" s="286"/>
      <c r="X62" s="286"/>
      <c r="Y62" s="286"/>
      <c r="Z62" s="286"/>
      <c r="AA62" s="286">
        <v>12</v>
      </c>
      <c r="AB62" s="286"/>
      <c r="AC62" s="286"/>
      <c r="AD62" s="286"/>
      <c r="AE62" s="286"/>
      <c r="AF62" s="286"/>
      <c r="AG62" s="286"/>
      <c r="AH62" s="286"/>
      <c r="AI62" s="286"/>
      <c r="AJ62" s="286"/>
      <c r="AK62" s="287"/>
      <c r="AL62" s="288"/>
      <c r="AM62" s="287"/>
      <c r="AN62" s="287"/>
      <c r="AO62" s="287"/>
      <c r="AP62" s="286"/>
      <c r="AQ62" s="296"/>
      <c r="AR62" s="286"/>
      <c r="AS62" s="286"/>
      <c r="AT62" s="286"/>
      <c r="AU62" s="286"/>
      <c r="AV62" s="286"/>
      <c r="AW62" s="286"/>
      <c r="AX62" s="286"/>
      <c r="AY62" s="286"/>
      <c r="AZ62" s="286"/>
      <c r="BA62" s="286"/>
      <c r="BB62" s="286"/>
      <c r="BC62" s="286"/>
      <c r="BD62" s="287"/>
      <c r="BE62" s="287"/>
      <c r="BF62" s="287"/>
      <c r="BG62" s="288">
        <v>12</v>
      </c>
      <c r="BH62" s="287"/>
      <c r="BI62" s="287"/>
      <c r="BJ62" s="287"/>
      <c r="BK62" s="287"/>
      <c r="BL62" s="287"/>
      <c r="BM62" s="287"/>
      <c r="BN62" s="287"/>
      <c r="BO62" s="287"/>
      <c r="BP62" s="287"/>
      <c r="BQ62" s="287"/>
      <c r="BR62" s="287"/>
      <c r="BS62" s="287"/>
      <c r="BT62" s="287"/>
      <c r="BU62" s="287"/>
      <c r="BV62" s="287"/>
      <c r="BW62" s="287"/>
      <c r="BX62" s="286"/>
      <c r="BY62" s="289"/>
      <c r="BZ62" s="289"/>
      <c r="CA62" s="289"/>
      <c r="CB62" s="289"/>
      <c r="CC62" s="289"/>
      <c r="CD62" s="289"/>
      <c r="CE62" s="289"/>
      <c r="CF62" s="289">
        <v>12.8</v>
      </c>
      <c r="CG62" s="287"/>
      <c r="CH62" s="287"/>
      <c r="CI62" s="287"/>
      <c r="CJ62" s="287"/>
      <c r="CK62" s="287"/>
      <c r="CL62" s="287"/>
      <c r="CM62" s="287"/>
      <c r="CN62" s="287"/>
      <c r="CO62" s="287"/>
      <c r="CP62" s="287"/>
      <c r="CQ62" s="287"/>
      <c r="CR62" s="287"/>
      <c r="CS62" s="6"/>
      <c r="CT62" s="6"/>
      <c r="CU62" s="6"/>
      <c r="CV62" s="6"/>
      <c r="CW62" s="6"/>
      <c r="CX62" s="6"/>
      <c r="CY62" s="6"/>
      <c r="CZ62" s="6"/>
      <c r="DA62" s="343">
        <f t="shared" si="0"/>
        <v>9</v>
      </c>
      <c r="DH62" s="238">
        <v>28</v>
      </c>
    </row>
    <row r="63" spans="1:112" ht="20" customHeight="1" x14ac:dyDescent="0.35">
      <c r="A63" s="301" t="s">
        <v>1252</v>
      </c>
      <c r="B63" s="270" t="s">
        <v>1201</v>
      </c>
      <c r="C63" s="270" t="s">
        <v>1578</v>
      </c>
      <c r="D63" s="297" t="s">
        <v>604</v>
      </c>
      <c r="E63" s="270" t="s">
        <v>1204</v>
      </c>
      <c r="F63" s="270" t="s">
        <v>1575</v>
      </c>
      <c r="G63" s="270" t="s">
        <v>38</v>
      </c>
      <c r="H63" s="298">
        <v>9</v>
      </c>
      <c r="I63" s="286"/>
      <c r="J63" s="286"/>
      <c r="K63" s="286"/>
      <c r="L63" s="286"/>
      <c r="M63" s="286"/>
      <c r="N63" s="286"/>
      <c r="O63" s="286"/>
      <c r="P63" s="286"/>
      <c r="Q63" s="286"/>
      <c r="R63" s="286"/>
      <c r="S63" s="286"/>
      <c r="T63" s="286"/>
      <c r="U63" s="286"/>
      <c r="V63" s="294"/>
      <c r="W63" s="286"/>
      <c r="X63" s="286"/>
      <c r="Y63" s="286"/>
      <c r="Z63" s="286"/>
      <c r="AA63" s="286">
        <v>12</v>
      </c>
      <c r="AB63" s="286"/>
      <c r="AC63" s="286"/>
      <c r="AD63" s="286"/>
      <c r="AE63" s="286"/>
      <c r="AF63" s="286"/>
      <c r="AG63" s="286"/>
      <c r="AH63" s="286"/>
      <c r="AI63" s="286"/>
      <c r="AJ63" s="286"/>
      <c r="AK63" s="287"/>
      <c r="AL63" s="288"/>
      <c r="AM63" s="287"/>
      <c r="AN63" s="287"/>
      <c r="AO63" s="287"/>
      <c r="AP63" s="286"/>
      <c r="AQ63" s="296"/>
      <c r="AR63" s="286"/>
      <c r="AS63" s="286"/>
      <c r="AT63" s="286"/>
      <c r="AU63" s="286"/>
      <c r="AV63" s="286"/>
      <c r="AW63" s="286"/>
      <c r="AX63" s="286"/>
      <c r="AY63" s="286"/>
      <c r="AZ63" s="286"/>
      <c r="BA63" s="286"/>
      <c r="BB63" s="286"/>
      <c r="BC63" s="286"/>
      <c r="BD63" s="287"/>
      <c r="BE63" s="287"/>
      <c r="BF63" s="287"/>
      <c r="BG63" s="288">
        <v>12</v>
      </c>
      <c r="BH63" s="287"/>
      <c r="BI63" s="287"/>
      <c r="BJ63" s="287"/>
      <c r="BK63" s="287"/>
      <c r="BL63" s="287"/>
      <c r="BM63" s="287"/>
      <c r="BN63" s="287"/>
      <c r="BO63" s="287"/>
      <c r="BP63" s="287"/>
      <c r="BQ63" s="287"/>
      <c r="BR63" s="287"/>
      <c r="BS63" s="287"/>
      <c r="BT63" s="287"/>
      <c r="BU63" s="287"/>
      <c r="BV63" s="287"/>
      <c r="BW63" s="287"/>
      <c r="BX63" s="286"/>
      <c r="BY63" s="289"/>
      <c r="BZ63" s="289"/>
      <c r="CA63" s="289"/>
      <c r="CB63" s="289"/>
      <c r="CC63" s="289"/>
      <c r="CD63" s="289"/>
      <c r="CE63" s="289"/>
      <c r="CF63" s="289">
        <v>12.8</v>
      </c>
      <c r="CG63" s="287"/>
      <c r="CH63" s="287"/>
      <c r="CI63" s="287"/>
      <c r="CJ63" s="287"/>
      <c r="CK63" s="287"/>
      <c r="CL63" s="287"/>
      <c r="CM63" s="287"/>
      <c r="CN63" s="287"/>
      <c r="CO63" s="287"/>
      <c r="CP63" s="287"/>
      <c r="CQ63" s="287"/>
      <c r="CR63" s="287"/>
      <c r="CS63" s="6"/>
      <c r="CT63" s="6"/>
      <c r="CU63" s="6"/>
      <c r="CV63" s="6"/>
      <c r="CW63" s="6"/>
      <c r="CX63" s="6"/>
      <c r="CY63" s="6"/>
      <c r="CZ63" s="6"/>
      <c r="DA63" s="343">
        <f t="shared" si="0"/>
        <v>9</v>
      </c>
      <c r="DH63" s="238">
        <v>3</v>
      </c>
    </row>
    <row r="64" spans="1:112" ht="20" customHeight="1" x14ac:dyDescent="0.35">
      <c r="A64" s="301"/>
      <c r="B64" s="270" t="s">
        <v>1202</v>
      </c>
      <c r="C64" s="270" t="s">
        <v>1579</v>
      </c>
      <c r="D64" s="297" t="s">
        <v>604</v>
      </c>
      <c r="E64" s="270" t="s">
        <v>1204</v>
      </c>
      <c r="F64" s="270" t="s">
        <v>1575</v>
      </c>
      <c r="G64" s="270" t="s">
        <v>38</v>
      </c>
      <c r="H64" s="298">
        <v>9</v>
      </c>
      <c r="I64" s="286"/>
      <c r="J64" s="286"/>
      <c r="K64" s="286"/>
      <c r="L64" s="286"/>
      <c r="M64" s="286"/>
      <c r="N64" s="286"/>
      <c r="O64" s="286"/>
      <c r="P64" s="286"/>
      <c r="Q64" s="286"/>
      <c r="R64" s="286"/>
      <c r="S64" s="286"/>
      <c r="T64" s="286"/>
      <c r="U64" s="286"/>
      <c r="V64" s="294"/>
      <c r="W64" s="286"/>
      <c r="X64" s="286"/>
      <c r="Y64" s="286"/>
      <c r="Z64" s="286"/>
      <c r="AA64" s="286">
        <v>21</v>
      </c>
      <c r="AB64" s="286"/>
      <c r="AC64" s="286"/>
      <c r="AD64" s="286"/>
      <c r="AE64" s="286"/>
      <c r="AF64" s="286"/>
      <c r="AG64" s="286"/>
      <c r="AH64" s="286"/>
      <c r="AI64" s="286"/>
      <c r="AJ64" s="286"/>
      <c r="AK64" s="287"/>
      <c r="AL64" s="288"/>
      <c r="AM64" s="287"/>
      <c r="AN64" s="287"/>
      <c r="AO64" s="287"/>
      <c r="AP64" s="286"/>
      <c r="AQ64" s="296"/>
      <c r="AR64" s="286"/>
      <c r="AS64" s="286"/>
      <c r="AT64" s="286"/>
      <c r="AU64" s="286"/>
      <c r="AV64" s="286"/>
      <c r="AW64" s="286"/>
      <c r="AX64" s="286"/>
      <c r="AY64" s="286"/>
      <c r="AZ64" s="286"/>
      <c r="BA64" s="286"/>
      <c r="BB64" s="286"/>
      <c r="BC64" s="286"/>
      <c r="BD64" s="287"/>
      <c r="BE64" s="287"/>
      <c r="BF64" s="287"/>
      <c r="BG64" s="288">
        <v>12</v>
      </c>
      <c r="BH64" s="287"/>
      <c r="BI64" s="287"/>
      <c r="BJ64" s="287"/>
      <c r="BK64" s="287"/>
      <c r="BL64" s="287"/>
      <c r="BM64" s="287"/>
      <c r="BN64" s="287"/>
      <c r="BO64" s="287"/>
      <c r="BP64" s="287"/>
      <c r="BQ64" s="287"/>
      <c r="BR64" s="287"/>
      <c r="BS64" s="287"/>
      <c r="BT64" s="287"/>
      <c r="BU64" s="287"/>
      <c r="BV64" s="287"/>
      <c r="BW64" s="287"/>
      <c r="BX64" s="286"/>
      <c r="BY64" s="289"/>
      <c r="BZ64" s="289"/>
      <c r="CA64" s="289"/>
      <c r="CB64" s="289"/>
      <c r="CC64" s="289"/>
      <c r="CD64" s="289"/>
      <c r="CE64" s="289"/>
      <c r="CF64" s="289">
        <v>12.8</v>
      </c>
      <c r="CG64" s="287"/>
      <c r="CH64" s="287"/>
      <c r="CI64" s="287"/>
      <c r="CJ64" s="287"/>
      <c r="CK64" s="287"/>
      <c r="CL64" s="287"/>
      <c r="CM64" s="287"/>
      <c r="CN64" s="287"/>
      <c r="CO64" s="287"/>
      <c r="CP64" s="287"/>
      <c r="CQ64" s="287"/>
      <c r="CR64" s="287"/>
      <c r="CS64" s="6"/>
      <c r="CT64" s="6"/>
      <c r="CU64" s="6"/>
      <c r="CV64" s="6"/>
      <c r="CW64" s="6"/>
      <c r="CX64" s="6"/>
      <c r="CY64" s="6"/>
      <c r="CZ64" s="6"/>
      <c r="DA64" s="343">
        <f t="shared" si="0"/>
        <v>9</v>
      </c>
      <c r="DH64" s="238">
        <v>19</v>
      </c>
    </row>
    <row r="65" spans="1:112" ht="20" customHeight="1" x14ac:dyDescent="0.35">
      <c r="A65" s="301"/>
      <c r="B65" s="270" t="s">
        <v>2219</v>
      </c>
      <c r="C65" s="270" t="s">
        <v>2221</v>
      </c>
      <c r="D65" s="297" t="s">
        <v>604</v>
      </c>
      <c r="E65" s="270" t="s">
        <v>1204</v>
      </c>
      <c r="F65" s="270" t="s">
        <v>1575</v>
      </c>
      <c r="G65" s="270" t="s">
        <v>38</v>
      </c>
      <c r="H65" s="298">
        <v>10</v>
      </c>
      <c r="I65" s="286"/>
      <c r="J65" s="286"/>
      <c r="K65" s="286"/>
      <c r="L65" s="286"/>
      <c r="M65" s="286"/>
      <c r="N65" s="286"/>
      <c r="O65" s="286"/>
      <c r="P65" s="286"/>
      <c r="Q65" s="286"/>
      <c r="R65" s="286"/>
      <c r="S65" s="286"/>
      <c r="T65" s="286"/>
      <c r="U65" s="286"/>
      <c r="V65" s="294"/>
      <c r="W65" s="286"/>
      <c r="X65" s="286"/>
      <c r="Y65" s="286"/>
      <c r="Z65" s="286"/>
      <c r="AA65" s="286">
        <v>13</v>
      </c>
      <c r="AB65" s="286"/>
      <c r="AC65" s="286"/>
      <c r="AD65" s="286"/>
      <c r="AE65" s="286"/>
      <c r="AF65" s="286"/>
      <c r="AG65" s="286"/>
      <c r="AH65" s="286"/>
      <c r="AI65" s="286"/>
      <c r="AJ65" s="286"/>
      <c r="AK65" s="287"/>
      <c r="AL65" s="288"/>
      <c r="AM65" s="287"/>
      <c r="AN65" s="287"/>
      <c r="AO65" s="287"/>
      <c r="AP65" s="286"/>
      <c r="AQ65" s="296"/>
      <c r="AR65" s="286"/>
      <c r="AS65" s="286"/>
      <c r="AT65" s="286"/>
      <c r="AU65" s="286"/>
      <c r="AV65" s="286"/>
      <c r="AW65" s="286"/>
      <c r="AX65" s="286"/>
      <c r="AY65" s="286"/>
      <c r="AZ65" s="286"/>
      <c r="BA65" s="286"/>
      <c r="BB65" s="286"/>
      <c r="BC65" s="286"/>
      <c r="BD65" s="287"/>
      <c r="BE65" s="287"/>
      <c r="BF65" s="287"/>
      <c r="BG65" s="288"/>
      <c r="BH65" s="287"/>
      <c r="BI65" s="287"/>
      <c r="BJ65" s="287"/>
      <c r="BK65" s="287"/>
      <c r="BL65" s="287"/>
      <c r="BM65" s="287"/>
      <c r="BN65" s="287"/>
      <c r="BO65" s="287"/>
      <c r="BP65" s="287"/>
      <c r="BQ65" s="287"/>
      <c r="BR65" s="287"/>
      <c r="BS65" s="287"/>
      <c r="BT65" s="287"/>
      <c r="BU65" s="287"/>
      <c r="BV65" s="287"/>
      <c r="BW65" s="287"/>
      <c r="BX65" s="286"/>
      <c r="BY65" s="289"/>
      <c r="BZ65" s="289"/>
      <c r="CA65" s="289"/>
      <c r="CB65" s="289"/>
      <c r="CC65" s="289"/>
      <c r="CD65" s="289"/>
      <c r="CE65" s="289"/>
      <c r="CF65" s="289"/>
      <c r="CG65" s="287"/>
      <c r="CH65" s="287"/>
      <c r="CI65" s="287"/>
      <c r="CJ65" s="287"/>
      <c r="CK65" s="287"/>
      <c r="CL65" s="287"/>
      <c r="CM65" s="287"/>
      <c r="CN65" s="287"/>
      <c r="CO65" s="287"/>
      <c r="CP65" s="287"/>
      <c r="CQ65" s="287"/>
      <c r="CR65" s="287"/>
      <c r="CS65" s="6"/>
      <c r="CT65" s="6"/>
      <c r="CU65" s="6"/>
      <c r="CV65" s="6"/>
      <c r="CW65" s="6"/>
      <c r="CX65" s="6"/>
      <c r="CY65" s="6"/>
      <c r="CZ65" s="6"/>
      <c r="DA65" s="343">
        <f>H65</f>
        <v>10</v>
      </c>
      <c r="DH65" s="238">
        <v>18</v>
      </c>
    </row>
    <row r="66" spans="1:112" ht="20" customHeight="1" x14ac:dyDescent="0.35">
      <c r="A66" s="301"/>
      <c r="B66" s="270" t="s">
        <v>1203</v>
      </c>
      <c r="C66" s="270" t="s">
        <v>1580</v>
      </c>
      <c r="D66" s="297" t="s">
        <v>604</v>
      </c>
      <c r="E66" s="270" t="s">
        <v>1204</v>
      </c>
      <c r="F66" s="270" t="s">
        <v>1575</v>
      </c>
      <c r="G66" s="270" t="s">
        <v>38</v>
      </c>
      <c r="H66" s="298">
        <v>10</v>
      </c>
      <c r="I66" s="286"/>
      <c r="J66" s="286"/>
      <c r="K66" s="286"/>
      <c r="L66" s="286"/>
      <c r="M66" s="286"/>
      <c r="N66" s="286"/>
      <c r="O66" s="286"/>
      <c r="P66" s="286"/>
      <c r="Q66" s="286"/>
      <c r="R66" s="286"/>
      <c r="S66" s="286"/>
      <c r="T66" s="286"/>
      <c r="U66" s="286"/>
      <c r="V66" s="294"/>
      <c r="W66" s="286"/>
      <c r="X66" s="286"/>
      <c r="Y66" s="286"/>
      <c r="Z66" s="286"/>
      <c r="AA66" s="286">
        <v>13</v>
      </c>
      <c r="AB66" s="286"/>
      <c r="AC66" s="286"/>
      <c r="AD66" s="286"/>
      <c r="AE66" s="286"/>
      <c r="AF66" s="286"/>
      <c r="AG66" s="286"/>
      <c r="AH66" s="286"/>
      <c r="AI66" s="286"/>
      <c r="AJ66" s="286"/>
      <c r="AK66" s="287"/>
      <c r="AL66" s="288"/>
      <c r="AM66" s="287"/>
      <c r="AN66" s="287"/>
      <c r="AO66" s="287"/>
      <c r="AP66" s="286"/>
      <c r="AQ66" s="296"/>
      <c r="AR66" s="286"/>
      <c r="AS66" s="286"/>
      <c r="AT66" s="286"/>
      <c r="AU66" s="286"/>
      <c r="AV66" s="286"/>
      <c r="AW66" s="286"/>
      <c r="AX66" s="286"/>
      <c r="AY66" s="286"/>
      <c r="AZ66" s="286"/>
      <c r="BA66" s="286"/>
      <c r="BB66" s="286"/>
      <c r="BC66" s="286"/>
      <c r="BD66" s="287"/>
      <c r="BE66" s="287"/>
      <c r="BF66" s="287"/>
      <c r="BG66" s="288">
        <v>13</v>
      </c>
      <c r="BH66" s="287"/>
      <c r="BI66" s="287"/>
      <c r="BJ66" s="287"/>
      <c r="BK66" s="287"/>
      <c r="BL66" s="287"/>
      <c r="BM66" s="287"/>
      <c r="BN66" s="287"/>
      <c r="BO66" s="287"/>
      <c r="BP66" s="287"/>
      <c r="BQ66" s="287"/>
      <c r="BR66" s="287"/>
      <c r="BS66" s="287"/>
      <c r="BT66" s="287"/>
      <c r="BU66" s="287"/>
      <c r="BV66" s="287"/>
      <c r="BW66" s="287"/>
      <c r="BX66" s="286"/>
      <c r="BY66" s="289"/>
      <c r="BZ66" s="289"/>
      <c r="CA66" s="289"/>
      <c r="CB66" s="289"/>
      <c r="CC66" s="289"/>
      <c r="CD66" s="289"/>
      <c r="CE66" s="289"/>
      <c r="CF66" s="289">
        <v>12.8</v>
      </c>
      <c r="CG66" s="287"/>
      <c r="CH66" s="287"/>
      <c r="CI66" s="287"/>
      <c r="CJ66" s="287"/>
      <c r="CK66" s="287"/>
      <c r="CL66" s="287"/>
      <c r="CM66" s="287"/>
      <c r="CN66" s="287"/>
      <c r="CO66" s="287"/>
      <c r="CP66" s="287"/>
      <c r="CQ66" s="287"/>
      <c r="CR66" s="287"/>
      <c r="CS66" s="6"/>
      <c r="CT66" s="6"/>
      <c r="CU66" s="6"/>
      <c r="CV66" s="6"/>
      <c r="CW66" s="6"/>
      <c r="CX66" s="6"/>
      <c r="CY66" s="6"/>
      <c r="CZ66" s="6"/>
      <c r="DA66" s="343">
        <f t="shared" ref="DA66" si="3">H66</f>
        <v>10</v>
      </c>
      <c r="DH66" s="238">
        <v>18</v>
      </c>
    </row>
    <row r="67" spans="1:112" ht="20" customHeight="1" x14ac:dyDescent="0.35">
      <c r="A67" s="301">
        <v>520740</v>
      </c>
      <c r="B67" s="270" t="s">
        <v>1272</v>
      </c>
      <c r="C67" s="270" t="s">
        <v>1557</v>
      </c>
      <c r="D67" s="297" t="s">
        <v>513</v>
      </c>
      <c r="E67" s="270" t="s">
        <v>54</v>
      </c>
      <c r="F67" s="270" t="s">
        <v>613</v>
      </c>
      <c r="G67" s="270" t="s">
        <v>138</v>
      </c>
      <c r="H67" s="298">
        <v>5.86</v>
      </c>
      <c r="I67" s="300">
        <v>11</v>
      </c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94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>
        <v>10</v>
      </c>
      <c r="AK67" s="295"/>
      <c r="AL67" s="288"/>
      <c r="AM67" s="287"/>
      <c r="AN67" s="287"/>
      <c r="AO67" s="287"/>
      <c r="AP67" s="286"/>
      <c r="AQ67" s="296">
        <v>10.5</v>
      </c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7"/>
      <c r="BE67" s="287"/>
      <c r="BF67" s="287"/>
      <c r="BG67" s="288">
        <v>10</v>
      </c>
      <c r="BH67" s="287"/>
      <c r="BI67" s="287"/>
      <c r="BJ67" s="287"/>
      <c r="BK67" s="287"/>
      <c r="BL67" s="287"/>
      <c r="BM67" s="287"/>
      <c r="BN67" s="287"/>
      <c r="BO67" s="287"/>
      <c r="BP67" s="287"/>
      <c r="BQ67" s="287"/>
      <c r="BR67" s="287"/>
      <c r="BS67" s="287"/>
      <c r="BT67" s="287"/>
      <c r="BU67" s="287"/>
      <c r="BV67" s="287"/>
      <c r="BW67" s="287"/>
      <c r="BX67" s="286"/>
      <c r="BY67" s="289"/>
      <c r="BZ67" s="289"/>
      <c r="CA67" s="289"/>
      <c r="CB67" s="289"/>
      <c r="CC67" s="289"/>
      <c r="CD67" s="289"/>
      <c r="CE67" s="289"/>
      <c r="CF67" s="289"/>
      <c r="CG67" s="287"/>
      <c r="CH67" s="287"/>
      <c r="CI67" s="287"/>
      <c r="CJ67" s="287"/>
      <c r="CK67" s="287"/>
      <c r="CL67" s="287"/>
      <c r="CM67" s="287"/>
      <c r="CN67" s="287"/>
      <c r="CO67" s="287"/>
      <c r="CP67" s="287"/>
      <c r="CQ67" s="287">
        <v>11</v>
      </c>
      <c r="CR67" s="307"/>
      <c r="CS67" s="308">
        <v>9.5</v>
      </c>
      <c r="CT67" s="6"/>
      <c r="CU67" s="6"/>
      <c r="CV67" s="6"/>
      <c r="CW67" s="6"/>
      <c r="CX67" s="6"/>
      <c r="CY67" s="6"/>
      <c r="CZ67" s="6"/>
      <c r="DA67" s="343">
        <f t="shared" si="0"/>
        <v>5.86</v>
      </c>
      <c r="DH67" s="238">
        <v>5</v>
      </c>
    </row>
    <row r="68" spans="1:112" ht="20" customHeight="1" x14ac:dyDescent="0.35">
      <c r="A68" s="301" t="s">
        <v>2257</v>
      </c>
      <c r="B68" s="270" t="s">
        <v>1272</v>
      </c>
      <c r="C68" s="270" t="s">
        <v>1557</v>
      </c>
      <c r="D68" s="297" t="s">
        <v>513</v>
      </c>
      <c r="E68" s="270" t="s">
        <v>54</v>
      </c>
      <c r="F68" s="270" t="s">
        <v>613</v>
      </c>
      <c r="G68" s="270" t="s">
        <v>138</v>
      </c>
      <c r="H68" s="298">
        <v>5.86</v>
      </c>
      <c r="I68" s="300"/>
      <c r="J68" s="286"/>
      <c r="K68" s="286"/>
      <c r="L68" s="286"/>
      <c r="M68" s="286"/>
      <c r="N68" s="286"/>
      <c r="O68" s="286"/>
      <c r="P68" s="286"/>
      <c r="Q68" s="286"/>
      <c r="R68" s="286"/>
      <c r="S68" s="286"/>
      <c r="T68" s="286"/>
      <c r="U68" s="286"/>
      <c r="V68" s="294"/>
      <c r="W68" s="286"/>
      <c r="X68" s="286"/>
      <c r="Y68" s="286"/>
      <c r="Z68" s="286"/>
      <c r="AA68" s="286"/>
      <c r="AB68" s="286"/>
      <c r="AC68" s="286"/>
      <c r="AD68" s="286"/>
      <c r="AE68" s="286"/>
      <c r="AF68" s="286"/>
      <c r="AG68" s="286"/>
      <c r="AH68" s="286"/>
      <c r="AI68" s="286"/>
      <c r="AJ68" s="286"/>
      <c r="AK68" s="295"/>
      <c r="AL68" s="288"/>
      <c r="AM68" s="287"/>
      <c r="AN68" s="287"/>
      <c r="AO68" s="287"/>
      <c r="AP68" s="286"/>
      <c r="AQ68" s="296"/>
      <c r="AR68" s="286"/>
      <c r="AS68" s="286"/>
      <c r="AT68" s="286"/>
      <c r="AU68" s="286"/>
      <c r="AV68" s="286"/>
      <c r="AW68" s="286"/>
      <c r="AX68" s="286"/>
      <c r="AY68" s="286"/>
      <c r="AZ68" s="286"/>
      <c r="BA68" s="286"/>
      <c r="BB68" s="286"/>
      <c r="BC68" s="286"/>
      <c r="BD68" s="287"/>
      <c r="BE68" s="287"/>
      <c r="BF68" s="287"/>
      <c r="BG68" s="288"/>
      <c r="BH68" s="287"/>
      <c r="BI68" s="287"/>
      <c r="BJ68" s="287"/>
      <c r="BK68" s="287"/>
      <c r="BL68" s="287"/>
      <c r="BM68" s="287"/>
      <c r="BN68" s="287"/>
      <c r="BO68" s="287"/>
      <c r="BP68" s="287"/>
      <c r="BQ68" s="287"/>
      <c r="BR68" s="287"/>
      <c r="BS68" s="287"/>
      <c r="BT68" s="287"/>
      <c r="BU68" s="287"/>
      <c r="BV68" s="287"/>
      <c r="BW68" s="287"/>
      <c r="BX68" s="286"/>
      <c r="BY68" s="289"/>
      <c r="BZ68" s="289"/>
      <c r="CA68" s="289"/>
      <c r="CB68" s="289"/>
      <c r="CC68" s="289"/>
      <c r="CD68" s="289"/>
      <c r="CE68" s="289"/>
      <c r="CF68" s="289"/>
      <c r="CG68" s="287"/>
      <c r="CH68" s="287"/>
      <c r="CI68" s="287"/>
      <c r="CJ68" s="287"/>
      <c r="CK68" s="287"/>
      <c r="CL68" s="287"/>
      <c r="CM68" s="287"/>
      <c r="CN68" s="287"/>
      <c r="CO68" s="287"/>
      <c r="CP68" s="287"/>
      <c r="CQ68" s="287">
        <v>11</v>
      </c>
      <c r="CR68" s="307"/>
      <c r="CS68" s="308">
        <v>9.5</v>
      </c>
      <c r="CT68" s="6"/>
      <c r="CU68" s="6"/>
      <c r="CV68" s="6"/>
      <c r="CW68" s="6"/>
      <c r="CX68" s="6"/>
      <c r="CY68" s="6"/>
      <c r="CZ68" s="6"/>
      <c r="DA68" s="343">
        <f t="shared" ref="DA68" si="4">H68</f>
        <v>5.86</v>
      </c>
      <c r="DH68" s="238">
        <v>5</v>
      </c>
    </row>
    <row r="69" spans="1:112" ht="20" customHeight="1" x14ac:dyDescent="0.35">
      <c r="A69" s="309"/>
      <c r="B69" s="270" t="s">
        <v>1334</v>
      </c>
      <c r="C69" s="270" t="s">
        <v>1558</v>
      </c>
      <c r="D69" s="297" t="s">
        <v>513</v>
      </c>
      <c r="E69" s="270" t="s">
        <v>34</v>
      </c>
      <c r="F69" s="270" t="s">
        <v>1336</v>
      </c>
      <c r="G69" s="270" t="s">
        <v>31</v>
      </c>
      <c r="H69" s="298">
        <v>2.4</v>
      </c>
      <c r="I69" s="286"/>
      <c r="J69" s="286"/>
      <c r="K69" s="286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294"/>
      <c r="W69" s="286"/>
      <c r="X69" s="286"/>
      <c r="Y69" s="286"/>
      <c r="Z69" s="286"/>
      <c r="AA69" s="286"/>
      <c r="AB69" s="286"/>
      <c r="AC69" s="286"/>
      <c r="AD69" s="286"/>
      <c r="AE69" s="286"/>
      <c r="AF69" s="286"/>
      <c r="AG69" s="286"/>
      <c r="AH69" s="286"/>
      <c r="AI69" s="286"/>
      <c r="AJ69" s="286">
        <v>3.4</v>
      </c>
      <c r="AK69" s="295"/>
      <c r="AL69" s="288"/>
      <c r="AM69" s="287"/>
      <c r="AN69" s="287"/>
      <c r="AO69" s="287"/>
      <c r="AP69" s="286"/>
      <c r="AQ69" s="296">
        <v>3.5</v>
      </c>
      <c r="AR69" s="286"/>
      <c r="AS69" s="286"/>
      <c r="AT69" s="286"/>
      <c r="AU69" s="286"/>
      <c r="AV69" s="286"/>
      <c r="AW69" s="286"/>
      <c r="AX69" s="286"/>
      <c r="AY69" s="286"/>
      <c r="AZ69" s="286"/>
      <c r="BA69" s="286"/>
      <c r="BB69" s="286"/>
      <c r="BC69" s="286"/>
      <c r="BD69" s="287"/>
      <c r="BE69" s="287"/>
      <c r="BF69" s="287"/>
      <c r="BG69" s="288">
        <v>3.5</v>
      </c>
      <c r="BH69" s="287"/>
      <c r="BI69" s="287"/>
      <c r="BJ69" s="287"/>
      <c r="BK69" s="287"/>
      <c r="BL69" s="287"/>
      <c r="BM69" s="287"/>
      <c r="BN69" s="287"/>
      <c r="BO69" s="287"/>
      <c r="BP69" s="287"/>
      <c r="BQ69" s="287"/>
      <c r="BR69" s="287"/>
      <c r="BS69" s="287"/>
      <c r="BT69" s="287"/>
      <c r="BU69" s="287"/>
      <c r="BV69" s="287"/>
      <c r="BW69" s="287"/>
      <c r="BX69" s="286"/>
      <c r="BY69" s="289"/>
      <c r="BZ69" s="289"/>
      <c r="CA69" s="289"/>
      <c r="CB69" s="289"/>
      <c r="CC69" s="289"/>
      <c r="CD69" s="289"/>
      <c r="CE69" s="289"/>
      <c r="CF69" s="289"/>
      <c r="CG69" s="287"/>
      <c r="CH69" s="287"/>
      <c r="CI69" s="287"/>
      <c r="CJ69" s="287"/>
      <c r="CK69" s="287"/>
      <c r="CL69" s="287">
        <v>3.5</v>
      </c>
      <c r="CM69" s="287"/>
      <c r="CN69" s="287"/>
      <c r="CO69" s="287"/>
      <c r="CP69" s="287"/>
      <c r="CQ69" s="287"/>
      <c r="CR69" s="287"/>
      <c r="CS69" s="6"/>
      <c r="CT69" s="6"/>
      <c r="CU69" s="6"/>
      <c r="CV69" s="6"/>
      <c r="CW69" s="6"/>
      <c r="CX69" s="6"/>
      <c r="CY69" s="6"/>
      <c r="CZ69" s="6"/>
      <c r="DA69" s="343">
        <f t="shared" si="0"/>
        <v>2.4</v>
      </c>
      <c r="DH69" s="238">
        <v>0.8</v>
      </c>
    </row>
    <row r="70" spans="1:112" ht="20" customHeight="1" x14ac:dyDescent="0.35">
      <c r="A70" s="301"/>
      <c r="B70" s="270" t="s">
        <v>1335</v>
      </c>
      <c r="C70" s="270" t="s">
        <v>1559</v>
      </c>
      <c r="D70" s="297" t="s">
        <v>513</v>
      </c>
      <c r="E70" s="270" t="s">
        <v>34</v>
      </c>
      <c r="F70" s="270" t="s">
        <v>1336</v>
      </c>
      <c r="G70" s="270" t="s">
        <v>31</v>
      </c>
      <c r="H70" s="298">
        <v>2.4</v>
      </c>
      <c r="I70" s="286"/>
      <c r="J70" s="286"/>
      <c r="K70" s="286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294"/>
      <c r="W70" s="286"/>
      <c r="X70" s="286"/>
      <c r="Y70" s="286"/>
      <c r="Z70" s="286"/>
      <c r="AA70" s="286"/>
      <c r="AB70" s="286"/>
      <c r="AC70" s="286"/>
      <c r="AD70" s="286"/>
      <c r="AE70" s="286"/>
      <c r="AF70" s="286"/>
      <c r="AG70" s="286"/>
      <c r="AH70" s="286"/>
      <c r="AI70" s="286"/>
      <c r="AJ70" s="286">
        <v>3.4</v>
      </c>
      <c r="AK70" s="295"/>
      <c r="AL70" s="288"/>
      <c r="AM70" s="287"/>
      <c r="AN70" s="287"/>
      <c r="AO70" s="287"/>
      <c r="AP70" s="286"/>
      <c r="AQ70" s="296"/>
      <c r="AR70" s="286"/>
      <c r="AS70" s="286"/>
      <c r="AT70" s="286"/>
      <c r="AU70" s="286"/>
      <c r="AV70" s="286"/>
      <c r="AW70" s="286"/>
      <c r="AX70" s="286"/>
      <c r="AY70" s="286"/>
      <c r="AZ70" s="286"/>
      <c r="BA70" s="286"/>
      <c r="BB70" s="286"/>
      <c r="BC70" s="286"/>
      <c r="BD70" s="287"/>
      <c r="BE70" s="287"/>
      <c r="BF70" s="287"/>
      <c r="BG70" s="288">
        <v>3.5</v>
      </c>
      <c r="BH70" s="287"/>
      <c r="BI70" s="287"/>
      <c r="BJ70" s="287"/>
      <c r="BK70" s="287"/>
      <c r="BL70" s="287"/>
      <c r="BM70" s="287"/>
      <c r="BN70" s="287"/>
      <c r="BO70" s="287"/>
      <c r="BP70" s="287"/>
      <c r="BQ70" s="287"/>
      <c r="BR70" s="287"/>
      <c r="BS70" s="287"/>
      <c r="BT70" s="287"/>
      <c r="BU70" s="287"/>
      <c r="BV70" s="287"/>
      <c r="BW70" s="287"/>
      <c r="BX70" s="286"/>
      <c r="BY70" s="289"/>
      <c r="BZ70" s="289"/>
      <c r="CA70" s="289"/>
      <c r="CB70" s="289"/>
      <c r="CC70" s="289"/>
      <c r="CD70" s="289"/>
      <c r="CE70" s="289"/>
      <c r="CF70" s="289"/>
      <c r="CG70" s="287"/>
      <c r="CH70" s="287"/>
      <c r="CI70" s="287"/>
      <c r="CJ70" s="287"/>
      <c r="CK70" s="287"/>
      <c r="CL70" s="287"/>
      <c r="CM70" s="287"/>
      <c r="CN70" s="287"/>
      <c r="CO70" s="287"/>
      <c r="CP70" s="287"/>
      <c r="CQ70" s="287"/>
      <c r="CR70" s="287"/>
      <c r="CS70" s="6"/>
      <c r="CT70" s="6"/>
      <c r="CU70" s="6"/>
      <c r="CV70" s="6"/>
      <c r="CW70" s="6"/>
      <c r="CX70" s="6"/>
      <c r="CY70" s="6"/>
      <c r="CZ70" s="6"/>
      <c r="DA70" s="343">
        <f t="shared" si="0"/>
        <v>2.4</v>
      </c>
      <c r="DH70" s="238">
        <v>1</v>
      </c>
    </row>
    <row r="71" spans="1:112" ht="20" customHeight="1" x14ac:dyDescent="0.35">
      <c r="A71" s="301"/>
      <c r="B71" s="270" t="s">
        <v>1456</v>
      </c>
      <c r="C71" s="270" t="s">
        <v>1560</v>
      </c>
      <c r="D71" s="270" t="s">
        <v>513</v>
      </c>
      <c r="E71" s="270" t="s">
        <v>719</v>
      </c>
      <c r="F71" s="270" t="s">
        <v>1457</v>
      </c>
      <c r="G71" s="270" t="s">
        <v>39</v>
      </c>
      <c r="H71" s="298">
        <f>43.2/24</f>
        <v>1.8</v>
      </c>
      <c r="I71" s="286"/>
      <c r="J71" s="286"/>
      <c r="K71" s="286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294"/>
      <c r="W71" s="286"/>
      <c r="X71" s="286"/>
      <c r="Y71" s="286"/>
      <c r="Z71" s="286"/>
      <c r="AA71" s="286"/>
      <c r="AB71" s="286"/>
      <c r="AC71" s="286"/>
      <c r="AD71" s="286"/>
      <c r="AE71" s="286"/>
      <c r="AF71" s="286"/>
      <c r="AG71" s="286"/>
      <c r="AH71" s="286"/>
      <c r="AI71" s="286"/>
      <c r="AJ71" s="286"/>
      <c r="AK71" s="287"/>
      <c r="AL71" s="288"/>
      <c r="AM71" s="287"/>
      <c r="AN71" s="287"/>
      <c r="AO71" s="287"/>
      <c r="AP71" s="286"/>
      <c r="AQ71" s="296"/>
      <c r="AR71" s="286"/>
      <c r="AS71" s="286"/>
      <c r="AT71" s="286"/>
      <c r="AU71" s="286"/>
      <c r="AV71" s="286"/>
      <c r="AW71" s="286"/>
      <c r="AX71" s="286"/>
      <c r="AY71" s="286"/>
      <c r="AZ71" s="286"/>
      <c r="BA71" s="286"/>
      <c r="BB71" s="286"/>
      <c r="BC71" s="286"/>
      <c r="BD71" s="287"/>
      <c r="BE71" s="287"/>
      <c r="BF71" s="287"/>
      <c r="BG71" s="288">
        <v>2.1</v>
      </c>
      <c r="BH71" s="287"/>
      <c r="BI71" s="287"/>
      <c r="BJ71" s="287"/>
      <c r="BK71" s="287"/>
      <c r="BL71" s="287"/>
      <c r="BM71" s="287"/>
      <c r="BN71" s="287"/>
      <c r="BO71" s="287"/>
      <c r="BP71" s="287"/>
      <c r="BQ71" s="287"/>
      <c r="BR71" s="287"/>
      <c r="BS71" s="287"/>
      <c r="BT71" s="287"/>
      <c r="BU71" s="287"/>
      <c r="BV71" s="287"/>
      <c r="BW71" s="287"/>
      <c r="BX71" s="286"/>
      <c r="BY71" s="289"/>
      <c r="BZ71" s="289"/>
      <c r="CA71" s="289"/>
      <c r="CB71" s="289"/>
      <c r="CC71" s="289"/>
      <c r="CD71" s="289"/>
      <c r="CE71" s="289"/>
      <c r="CF71" s="289"/>
      <c r="CG71" s="287"/>
      <c r="CH71" s="287"/>
      <c r="CI71" s="287"/>
      <c r="CJ71" s="287"/>
      <c r="CK71" s="287"/>
      <c r="CL71" s="287"/>
      <c r="CM71" s="287"/>
      <c r="CN71" s="287"/>
      <c r="CO71" s="287"/>
      <c r="CP71" s="287"/>
      <c r="CQ71" s="287"/>
      <c r="CR71" s="287">
        <v>2.4</v>
      </c>
      <c r="CS71" s="6"/>
      <c r="CT71" s="6"/>
      <c r="CU71" s="6"/>
      <c r="CV71" s="6"/>
      <c r="CW71" s="6"/>
      <c r="CX71" s="6"/>
      <c r="CY71" s="6"/>
      <c r="CZ71" s="6"/>
      <c r="DA71" s="343">
        <f t="shared" si="0"/>
        <v>1.8</v>
      </c>
      <c r="DH71" s="238">
        <v>20</v>
      </c>
    </row>
    <row r="72" spans="1:112" ht="20" customHeight="1" x14ac:dyDescent="0.35">
      <c r="A72" s="301"/>
      <c r="B72" s="270" t="s">
        <v>1458</v>
      </c>
      <c r="C72" s="270" t="s">
        <v>1561</v>
      </c>
      <c r="D72" s="270" t="s">
        <v>513</v>
      </c>
      <c r="E72" s="270" t="s">
        <v>1195</v>
      </c>
      <c r="F72" s="270" t="s">
        <v>62</v>
      </c>
      <c r="G72" s="270" t="s">
        <v>31</v>
      </c>
      <c r="H72" s="298">
        <v>6</v>
      </c>
      <c r="I72" s="286"/>
      <c r="J72" s="286"/>
      <c r="K72" s="286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294"/>
      <c r="W72" s="286"/>
      <c r="X72" s="286"/>
      <c r="Y72" s="286"/>
      <c r="Z72" s="286"/>
      <c r="AA72" s="286"/>
      <c r="AB72" s="286"/>
      <c r="AC72" s="286"/>
      <c r="AD72" s="286"/>
      <c r="AE72" s="286"/>
      <c r="AF72" s="286"/>
      <c r="AG72" s="286"/>
      <c r="AH72" s="286"/>
      <c r="AI72" s="286"/>
      <c r="AJ72" s="286"/>
      <c r="AK72" s="287"/>
      <c r="AL72" s="288"/>
      <c r="AM72" s="287"/>
      <c r="AN72" s="287"/>
      <c r="AO72" s="287"/>
      <c r="AP72" s="286"/>
      <c r="AQ72" s="296"/>
      <c r="AR72" s="286"/>
      <c r="AS72" s="286"/>
      <c r="AT72" s="286"/>
      <c r="AU72" s="286"/>
      <c r="AV72" s="286"/>
      <c r="AW72" s="286"/>
      <c r="AX72" s="286"/>
      <c r="AY72" s="286"/>
      <c r="AZ72" s="286"/>
      <c r="BA72" s="286"/>
      <c r="BB72" s="286"/>
      <c r="BC72" s="286"/>
      <c r="BD72" s="287"/>
      <c r="BE72" s="287"/>
      <c r="BF72" s="287"/>
      <c r="BG72" s="288">
        <v>8.5</v>
      </c>
      <c r="BH72" s="287"/>
      <c r="BI72" s="287"/>
      <c r="BJ72" s="287"/>
      <c r="BK72" s="287"/>
      <c r="BL72" s="287"/>
      <c r="BM72" s="287"/>
      <c r="BN72" s="287"/>
      <c r="BO72" s="287"/>
      <c r="BP72" s="287"/>
      <c r="BQ72" s="287"/>
      <c r="BR72" s="287"/>
      <c r="BS72" s="287"/>
      <c r="BT72" s="287"/>
      <c r="BU72" s="287"/>
      <c r="BV72" s="287"/>
      <c r="BW72" s="287"/>
      <c r="BX72" s="286"/>
      <c r="BY72" s="289"/>
      <c r="BZ72" s="289"/>
      <c r="CA72" s="289"/>
      <c r="CB72" s="289"/>
      <c r="CC72" s="289"/>
      <c r="CD72" s="289"/>
      <c r="CE72" s="289"/>
      <c r="CF72" s="289"/>
      <c r="CG72" s="287"/>
      <c r="CH72" s="287"/>
      <c r="CI72" s="287"/>
      <c r="CJ72" s="287"/>
      <c r="CK72" s="287"/>
      <c r="CL72" s="287"/>
      <c r="CM72" s="287"/>
      <c r="CN72" s="287"/>
      <c r="CO72" s="287"/>
      <c r="CP72" s="287"/>
      <c r="CQ72" s="287"/>
      <c r="CR72" s="287"/>
      <c r="CS72" s="6"/>
      <c r="CT72" s="6"/>
      <c r="CU72" s="6"/>
      <c r="CV72" s="6"/>
      <c r="CW72" s="6"/>
      <c r="CX72" s="6"/>
      <c r="CY72" s="6"/>
      <c r="CZ72" s="6"/>
      <c r="DA72" s="343">
        <f t="shared" si="0"/>
        <v>6</v>
      </c>
      <c r="DH72" s="238">
        <v>32</v>
      </c>
    </row>
    <row r="73" spans="1:112" ht="20" customHeight="1" x14ac:dyDescent="0.35">
      <c r="A73" s="301"/>
      <c r="B73" s="270" t="s">
        <v>1496</v>
      </c>
      <c r="C73" s="270" t="s">
        <v>1497</v>
      </c>
      <c r="D73" s="270" t="s">
        <v>632</v>
      </c>
      <c r="E73" s="270" t="s">
        <v>54</v>
      </c>
      <c r="F73" s="270" t="s">
        <v>62</v>
      </c>
      <c r="G73" s="270" t="s">
        <v>39</v>
      </c>
      <c r="H73" s="298">
        <v>1.93</v>
      </c>
      <c r="I73" s="286"/>
      <c r="J73" s="286"/>
      <c r="K73" s="286"/>
      <c r="L73" s="286"/>
      <c r="M73" s="286"/>
      <c r="N73" s="286"/>
      <c r="O73" s="286"/>
      <c r="P73" s="286"/>
      <c r="Q73" s="286"/>
      <c r="R73" s="286">
        <v>4.5</v>
      </c>
      <c r="S73" s="286"/>
      <c r="T73" s="286"/>
      <c r="U73" s="286"/>
      <c r="V73" s="294"/>
      <c r="W73" s="286"/>
      <c r="X73" s="286"/>
      <c r="Y73" s="286"/>
      <c r="Z73" s="286"/>
      <c r="AA73" s="286"/>
      <c r="AB73" s="286"/>
      <c r="AC73" s="286"/>
      <c r="AD73" s="286"/>
      <c r="AE73" s="286"/>
      <c r="AF73" s="286"/>
      <c r="AG73" s="286"/>
      <c r="AH73" s="286"/>
      <c r="AI73" s="286"/>
      <c r="AJ73" s="286"/>
      <c r="AK73" s="287">
        <v>4.8</v>
      </c>
      <c r="AL73" s="288"/>
      <c r="AM73" s="287"/>
      <c r="AN73" s="287"/>
      <c r="AO73" s="287"/>
      <c r="AP73" s="286"/>
      <c r="AQ73" s="296">
        <v>4</v>
      </c>
      <c r="AR73" s="286"/>
      <c r="AS73" s="286"/>
      <c r="AT73" s="286"/>
      <c r="AU73" s="286"/>
      <c r="AV73" s="286"/>
      <c r="AW73" s="286"/>
      <c r="AX73" s="286"/>
      <c r="AY73" s="286"/>
      <c r="AZ73" s="286"/>
      <c r="BA73" s="286"/>
      <c r="BB73" s="286"/>
      <c r="BC73" s="286"/>
      <c r="BD73" s="287"/>
      <c r="BE73" s="287"/>
      <c r="BF73" s="287"/>
      <c r="BG73" s="288"/>
      <c r="BH73" s="287"/>
      <c r="BI73" s="287"/>
      <c r="BJ73" s="287"/>
      <c r="BK73" s="287"/>
      <c r="BL73" s="287"/>
      <c r="BM73" s="287"/>
      <c r="BN73" s="287"/>
      <c r="BO73" s="287"/>
      <c r="BP73" s="287"/>
      <c r="BQ73" s="287"/>
      <c r="BR73" s="287"/>
      <c r="BS73" s="287"/>
      <c r="BT73" s="287"/>
      <c r="BU73" s="287"/>
      <c r="BV73" s="287"/>
      <c r="BW73" s="287"/>
      <c r="BX73" s="286"/>
      <c r="BY73" s="289"/>
      <c r="BZ73" s="289"/>
      <c r="CA73" s="289"/>
      <c r="CB73" s="289"/>
      <c r="CC73" s="289"/>
      <c r="CD73" s="289"/>
      <c r="CE73" s="289"/>
      <c r="CF73" s="289"/>
      <c r="CG73" s="287"/>
      <c r="CH73" s="287"/>
      <c r="CI73" s="287"/>
      <c r="CJ73" s="287"/>
      <c r="CK73" s="287"/>
      <c r="CL73" s="287"/>
      <c r="CM73" s="287"/>
      <c r="CN73" s="287"/>
      <c r="CO73" s="287"/>
      <c r="CP73" s="287"/>
      <c r="CQ73" s="287"/>
      <c r="CR73" s="287">
        <v>4.8</v>
      </c>
      <c r="CS73" s="6"/>
      <c r="CT73" s="6"/>
      <c r="CU73" s="6"/>
      <c r="CV73" s="6"/>
      <c r="CW73" s="6"/>
      <c r="CX73" s="6"/>
      <c r="CY73" s="6"/>
      <c r="CZ73" s="6"/>
      <c r="DA73" s="343">
        <f t="shared" si="0"/>
        <v>1.93</v>
      </c>
      <c r="DH73" s="238"/>
    </row>
    <row r="74" spans="1:112" ht="20" customHeight="1" x14ac:dyDescent="0.35">
      <c r="A74" s="301"/>
      <c r="B74" s="270" t="s">
        <v>1685</v>
      </c>
      <c r="C74" s="270" t="s">
        <v>1686</v>
      </c>
      <c r="D74" s="270" t="s">
        <v>34</v>
      </c>
      <c r="E74" s="270" t="s">
        <v>54</v>
      </c>
      <c r="F74" s="270" t="s">
        <v>62</v>
      </c>
      <c r="G74" s="270" t="s">
        <v>31</v>
      </c>
      <c r="H74" s="298">
        <f>((11/1000*500)+(12/6000*500))/6+0.35</f>
        <v>1.4333333333333331</v>
      </c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94"/>
      <c r="W74" s="286"/>
      <c r="X74" s="286"/>
      <c r="Y74" s="286"/>
      <c r="Z74" s="286"/>
      <c r="AA74" s="286"/>
      <c r="AB74" s="286"/>
      <c r="AC74" s="286"/>
      <c r="AD74" s="286">
        <v>5</v>
      </c>
      <c r="AE74" s="286"/>
      <c r="AF74" s="286"/>
      <c r="AG74" s="286"/>
      <c r="AH74" s="286"/>
      <c r="AI74" s="286"/>
      <c r="AJ74" s="286"/>
      <c r="AK74" s="287"/>
      <c r="AL74" s="288"/>
      <c r="AM74" s="287"/>
      <c r="AN74" s="287"/>
      <c r="AO74" s="287"/>
      <c r="AP74" s="286"/>
      <c r="AQ74" s="296"/>
      <c r="AR74" s="286"/>
      <c r="AS74" s="286"/>
      <c r="AT74" s="286"/>
      <c r="AU74" s="286"/>
      <c r="AV74" s="286"/>
      <c r="AW74" s="286"/>
      <c r="AX74" s="286"/>
      <c r="AY74" s="286"/>
      <c r="AZ74" s="286"/>
      <c r="BA74" s="286"/>
      <c r="BB74" s="286"/>
      <c r="BC74" s="286"/>
      <c r="BD74" s="287"/>
      <c r="BE74" s="287"/>
      <c r="BF74" s="287"/>
      <c r="BG74" s="288"/>
      <c r="BH74" s="287"/>
      <c r="BI74" s="287"/>
      <c r="BJ74" s="287"/>
      <c r="BK74" s="287"/>
      <c r="BL74" s="287"/>
      <c r="BM74" s="287"/>
      <c r="BN74" s="287"/>
      <c r="BO74" s="287"/>
      <c r="BP74" s="287"/>
      <c r="BQ74" s="287"/>
      <c r="BR74" s="287"/>
      <c r="BS74" s="287"/>
      <c r="BT74" s="287"/>
      <c r="BU74" s="287"/>
      <c r="BV74" s="287"/>
      <c r="BW74" s="287"/>
      <c r="BX74" s="286"/>
      <c r="BY74" s="289"/>
      <c r="BZ74" s="289"/>
      <c r="CA74" s="289"/>
      <c r="CB74" s="289"/>
      <c r="CC74" s="289"/>
      <c r="CD74" s="289"/>
      <c r="CE74" s="289"/>
      <c r="CF74" s="289"/>
      <c r="CG74" s="287"/>
      <c r="CH74" s="287"/>
      <c r="CI74" s="287"/>
      <c r="CJ74" s="287"/>
      <c r="CK74" s="287"/>
      <c r="CL74" s="287"/>
      <c r="CM74" s="287"/>
      <c r="CN74" s="287"/>
      <c r="CO74" s="287"/>
      <c r="CP74" s="287"/>
      <c r="CQ74" s="287"/>
      <c r="CR74" s="287"/>
      <c r="CS74" s="6"/>
      <c r="CT74" s="6"/>
      <c r="CU74" s="6"/>
      <c r="CV74" s="6"/>
      <c r="CW74" s="6"/>
      <c r="CX74" s="6"/>
      <c r="CY74" s="6"/>
      <c r="CZ74" s="6"/>
      <c r="DA74" s="343">
        <f t="shared" ref="DA74:DA154" si="5">H74</f>
        <v>1.4333333333333331</v>
      </c>
      <c r="DH74" s="238"/>
    </row>
    <row r="75" spans="1:112" ht="20" customHeight="1" x14ac:dyDescent="0.35">
      <c r="A75" s="301"/>
      <c r="B75" s="270" t="s">
        <v>1695</v>
      </c>
      <c r="C75" s="270" t="s">
        <v>1775</v>
      </c>
      <c r="D75" s="270" t="s">
        <v>34</v>
      </c>
      <c r="E75" s="270" t="s">
        <v>54</v>
      </c>
      <c r="F75" s="270" t="s">
        <v>1696</v>
      </c>
      <c r="G75" s="270" t="s">
        <v>31</v>
      </c>
      <c r="H75" s="298">
        <f>(55/30000*250/2)+0.33</f>
        <v>0.5591666666666667</v>
      </c>
      <c r="I75" s="286"/>
      <c r="J75" s="286"/>
      <c r="K75" s="286"/>
      <c r="L75" s="286"/>
      <c r="M75" s="286"/>
      <c r="N75" s="286"/>
      <c r="O75" s="286"/>
      <c r="P75" s="286"/>
      <c r="Q75" s="286"/>
      <c r="R75" s="286"/>
      <c r="S75" s="286"/>
      <c r="T75" s="286"/>
      <c r="U75" s="286"/>
      <c r="V75" s="294"/>
      <c r="W75" s="286"/>
      <c r="X75" s="286"/>
      <c r="Y75" s="286"/>
      <c r="Z75" s="286"/>
      <c r="AA75" s="286"/>
      <c r="AB75" s="286"/>
      <c r="AC75" s="286"/>
      <c r="AD75" s="286"/>
      <c r="AE75" s="286"/>
      <c r="AF75" s="286"/>
      <c r="AG75" s="286"/>
      <c r="AH75" s="286"/>
      <c r="AI75" s="286"/>
      <c r="AJ75" s="286"/>
      <c r="AK75" s="287"/>
      <c r="AL75" s="288"/>
      <c r="AM75" s="287"/>
      <c r="AN75" s="287"/>
      <c r="AO75" s="287"/>
      <c r="AP75" s="286"/>
      <c r="AQ75" s="296">
        <v>3</v>
      </c>
      <c r="AR75" s="286"/>
      <c r="AS75" s="286"/>
      <c r="AT75" s="286"/>
      <c r="AU75" s="286"/>
      <c r="AV75" s="286"/>
      <c r="AW75" s="286"/>
      <c r="AX75" s="286"/>
      <c r="AY75" s="286"/>
      <c r="AZ75" s="286"/>
      <c r="BA75" s="286"/>
      <c r="BB75" s="286"/>
      <c r="BC75" s="286"/>
      <c r="BD75" s="287"/>
      <c r="BE75" s="287"/>
      <c r="BF75" s="287"/>
      <c r="BG75" s="288"/>
      <c r="BH75" s="287"/>
      <c r="BI75" s="287"/>
      <c r="BJ75" s="287"/>
      <c r="BK75" s="287"/>
      <c r="BL75" s="287"/>
      <c r="BM75" s="287"/>
      <c r="BN75" s="287"/>
      <c r="BO75" s="287"/>
      <c r="BP75" s="287"/>
      <c r="BQ75" s="287"/>
      <c r="BR75" s="287"/>
      <c r="BS75" s="287"/>
      <c r="BT75" s="287"/>
      <c r="BU75" s="287"/>
      <c r="BV75" s="287"/>
      <c r="BW75" s="287"/>
      <c r="BX75" s="286"/>
      <c r="BY75" s="289"/>
      <c r="BZ75" s="289"/>
      <c r="CA75" s="289"/>
      <c r="CB75" s="289"/>
      <c r="CC75" s="289"/>
      <c r="CD75" s="289"/>
      <c r="CE75" s="289"/>
      <c r="CF75" s="289"/>
      <c r="CG75" s="287"/>
      <c r="CH75" s="287"/>
      <c r="CI75" s="287"/>
      <c r="CJ75" s="287"/>
      <c r="CK75" s="287"/>
      <c r="CL75" s="287"/>
      <c r="CM75" s="287"/>
      <c r="CN75" s="287"/>
      <c r="CO75" s="287"/>
      <c r="CP75" s="287"/>
      <c r="CQ75" s="287"/>
      <c r="CR75" s="287"/>
      <c r="CS75" s="6"/>
      <c r="CT75" s="6"/>
      <c r="CU75" s="6"/>
      <c r="CV75" s="6"/>
      <c r="CW75" s="6"/>
      <c r="CX75" s="6"/>
      <c r="CY75" s="6"/>
      <c r="CZ75" s="6"/>
      <c r="DA75" s="343">
        <f t="shared" si="5"/>
        <v>0.5591666666666667</v>
      </c>
      <c r="DH75" s="238"/>
    </row>
    <row r="76" spans="1:112" ht="20" customHeight="1" x14ac:dyDescent="0.35">
      <c r="A76" s="301"/>
      <c r="B76" s="270" t="s">
        <v>1713</v>
      </c>
      <c r="C76" s="270" t="s">
        <v>1869</v>
      </c>
      <c r="D76" s="270" t="s">
        <v>34</v>
      </c>
      <c r="E76" s="270" t="s">
        <v>54</v>
      </c>
      <c r="F76" s="270" t="s">
        <v>1696</v>
      </c>
      <c r="G76" s="270" t="s">
        <v>31</v>
      </c>
      <c r="H76" s="298">
        <v>3.32</v>
      </c>
      <c r="I76" s="286"/>
      <c r="J76" s="286"/>
      <c r="K76" s="286"/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294"/>
      <c r="W76" s="286"/>
      <c r="X76" s="286"/>
      <c r="Y76" s="286"/>
      <c r="Z76" s="286"/>
      <c r="AA76" s="286"/>
      <c r="AB76" s="286"/>
      <c r="AC76" s="286"/>
      <c r="AD76" s="300">
        <v>6</v>
      </c>
      <c r="AE76" s="286"/>
      <c r="AF76" s="286"/>
      <c r="AG76" s="286"/>
      <c r="AH76" s="286"/>
      <c r="AI76" s="286"/>
      <c r="AJ76" s="286"/>
      <c r="AK76" s="287"/>
      <c r="AL76" s="288"/>
      <c r="AM76" s="287"/>
      <c r="AN76" s="287"/>
      <c r="AO76" s="287"/>
      <c r="AP76" s="286"/>
      <c r="AQ76" s="296"/>
      <c r="AR76" s="286"/>
      <c r="AS76" s="286"/>
      <c r="AT76" s="286"/>
      <c r="AU76" s="286"/>
      <c r="AV76" s="286"/>
      <c r="AW76" s="286"/>
      <c r="AX76" s="286"/>
      <c r="AY76" s="286"/>
      <c r="AZ76" s="286"/>
      <c r="BA76" s="286"/>
      <c r="BB76" s="286"/>
      <c r="BC76" s="286"/>
      <c r="BD76" s="287"/>
      <c r="BE76" s="287"/>
      <c r="BF76" s="287"/>
      <c r="BG76" s="288"/>
      <c r="BH76" s="287"/>
      <c r="BI76" s="287"/>
      <c r="BJ76" s="287"/>
      <c r="BK76" s="287"/>
      <c r="BL76" s="287"/>
      <c r="BM76" s="287"/>
      <c r="BN76" s="287"/>
      <c r="BO76" s="287"/>
      <c r="BP76" s="287"/>
      <c r="BQ76" s="287"/>
      <c r="BR76" s="287"/>
      <c r="BS76" s="287"/>
      <c r="BT76" s="287"/>
      <c r="BU76" s="287"/>
      <c r="BV76" s="287"/>
      <c r="BW76" s="287"/>
      <c r="BX76" s="286"/>
      <c r="BY76" s="289"/>
      <c r="BZ76" s="289"/>
      <c r="CA76" s="289"/>
      <c r="CB76" s="289"/>
      <c r="CC76" s="289"/>
      <c r="CD76" s="289"/>
      <c r="CE76" s="289"/>
      <c r="CF76" s="289"/>
      <c r="CG76" s="287"/>
      <c r="CH76" s="287"/>
      <c r="CI76" s="287"/>
      <c r="CJ76" s="287"/>
      <c r="CK76" s="287"/>
      <c r="CL76" s="287"/>
      <c r="CM76" s="287"/>
      <c r="CN76" s="287"/>
      <c r="CO76" s="287"/>
      <c r="CP76" s="287"/>
      <c r="CQ76" s="287"/>
      <c r="CR76" s="287"/>
      <c r="CS76" s="6"/>
      <c r="CT76" s="6"/>
      <c r="CU76" s="6"/>
      <c r="CV76" s="6"/>
      <c r="CW76" s="6"/>
      <c r="CX76" s="6"/>
      <c r="CY76" s="6"/>
      <c r="CZ76" s="6"/>
      <c r="DA76" s="343">
        <v>3.32</v>
      </c>
      <c r="DH76" s="238"/>
    </row>
    <row r="77" spans="1:112" ht="20" customHeight="1" x14ac:dyDescent="0.35">
      <c r="A77" s="301"/>
      <c r="B77" s="132" t="s">
        <v>1912</v>
      </c>
      <c r="C77" s="132" t="s">
        <v>1913</v>
      </c>
      <c r="D77" s="270" t="s">
        <v>34</v>
      </c>
      <c r="E77" s="270" t="s">
        <v>54</v>
      </c>
      <c r="F77" s="270" t="s">
        <v>1914</v>
      </c>
      <c r="G77" s="132" t="s">
        <v>31</v>
      </c>
      <c r="H77" s="355">
        <v>1.76</v>
      </c>
      <c r="I77" s="286"/>
      <c r="J77" s="286"/>
      <c r="K77" s="286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294"/>
      <c r="W77" s="286"/>
      <c r="X77" s="286"/>
      <c r="Y77" s="286"/>
      <c r="Z77" s="286"/>
      <c r="AA77" s="286"/>
      <c r="AB77" s="286"/>
      <c r="AC77" s="286"/>
      <c r="AD77" s="300"/>
      <c r="AE77" s="286"/>
      <c r="AF77" s="286"/>
      <c r="AG77" s="286"/>
      <c r="AH77" s="286"/>
      <c r="AI77" s="286"/>
      <c r="AJ77" s="286"/>
      <c r="AK77" s="287"/>
      <c r="AL77" s="288"/>
      <c r="AM77" s="287"/>
      <c r="AN77" s="287"/>
      <c r="AO77" s="287"/>
      <c r="AP77" s="286"/>
      <c r="AQ77" s="296"/>
      <c r="AR77" s="286"/>
      <c r="AS77" s="286"/>
      <c r="AT77" s="286"/>
      <c r="AU77" s="286"/>
      <c r="AV77" s="286"/>
      <c r="AW77" s="286"/>
      <c r="AX77" s="286"/>
      <c r="AY77" s="286"/>
      <c r="AZ77" s="286"/>
      <c r="BA77" s="286"/>
      <c r="BB77" s="286"/>
      <c r="BC77" s="286"/>
      <c r="BD77" s="287"/>
      <c r="BE77" s="287"/>
      <c r="BF77" s="287"/>
      <c r="BG77" s="288"/>
      <c r="BH77" s="287"/>
      <c r="BI77" s="287"/>
      <c r="BJ77" s="287"/>
      <c r="BK77" s="287"/>
      <c r="BL77" s="287"/>
      <c r="BM77" s="287"/>
      <c r="BN77" s="287"/>
      <c r="BO77" s="287"/>
      <c r="BP77" s="287"/>
      <c r="BQ77" s="287"/>
      <c r="BR77" s="287"/>
      <c r="BS77" s="287"/>
      <c r="BT77" s="287"/>
      <c r="BU77" s="287"/>
      <c r="BV77" s="287"/>
      <c r="BW77" s="287"/>
      <c r="BX77" s="286"/>
      <c r="BY77" s="289"/>
      <c r="BZ77" s="289"/>
      <c r="CA77" s="289"/>
      <c r="CB77" s="289"/>
      <c r="CC77" s="289"/>
      <c r="CD77" s="289"/>
      <c r="CE77" s="289"/>
      <c r="CF77" s="289"/>
      <c r="CG77" s="287"/>
      <c r="CH77" s="287"/>
      <c r="CI77" s="287"/>
      <c r="CJ77" s="287"/>
      <c r="CK77" s="287"/>
      <c r="CL77" s="287"/>
      <c r="CM77" s="287"/>
      <c r="CN77" s="287"/>
      <c r="CO77" s="287"/>
      <c r="CP77" s="287"/>
      <c r="CQ77" s="287"/>
      <c r="CR77" s="287"/>
      <c r="CS77" s="6"/>
      <c r="CT77" s="6"/>
      <c r="CU77" s="6"/>
      <c r="CV77" s="6"/>
      <c r="CW77" s="6"/>
      <c r="CX77" s="6"/>
      <c r="CY77" s="6"/>
      <c r="CZ77" s="6"/>
      <c r="DA77" s="343"/>
      <c r="DH77" s="238"/>
    </row>
    <row r="78" spans="1:112" ht="20" customHeight="1" x14ac:dyDescent="0.35">
      <c r="A78" s="301"/>
      <c r="B78" s="132" t="s">
        <v>1915</v>
      </c>
      <c r="C78" s="132" t="s">
        <v>1913</v>
      </c>
      <c r="D78" s="270" t="s">
        <v>34</v>
      </c>
      <c r="E78" s="270" t="s">
        <v>54</v>
      </c>
      <c r="F78" s="270" t="s">
        <v>1916</v>
      </c>
      <c r="G78" s="132" t="s">
        <v>207</v>
      </c>
      <c r="H78" s="355">
        <v>8.5399999999999991</v>
      </c>
      <c r="I78" s="286"/>
      <c r="J78" s="286"/>
      <c r="K78" s="286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294"/>
      <c r="W78" s="286"/>
      <c r="X78" s="286"/>
      <c r="Y78" s="286"/>
      <c r="Z78" s="286"/>
      <c r="AA78" s="286"/>
      <c r="AB78" s="286"/>
      <c r="AC78" s="286"/>
      <c r="AD78" s="300"/>
      <c r="AE78" s="286"/>
      <c r="AF78" s="286"/>
      <c r="AG78" s="286"/>
      <c r="AH78" s="286"/>
      <c r="AI78" s="286"/>
      <c r="AJ78" s="286"/>
      <c r="AK78" s="287"/>
      <c r="AL78" s="288"/>
      <c r="AM78" s="287"/>
      <c r="AN78" s="287"/>
      <c r="AO78" s="287"/>
      <c r="AP78" s="286"/>
      <c r="AQ78" s="296"/>
      <c r="AR78" s="286"/>
      <c r="AS78" s="286"/>
      <c r="AT78" s="286"/>
      <c r="AU78" s="286"/>
      <c r="AV78" s="286"/>
      <c r="AW78" s="286"/>
      <c r="AX78" s="286"/>
      <c r="AY78" s="286"/>
      <c r="AZ78" s="286"/>
      <c r="BA78" s="286"/>
      <c r="BB78" s="286"/>
      <c r="BC78" s="286"/>
      <c r="BD78" s="287"/>
      <c r="BE78" s="287"/>
      <c r="BF78" s="287"/>
      <c r="BG78" s="288"/>
      <c r="BH78" s="287"/>
      <c r="BI78" s="287"/>
      <c r="BJ78" s="287"/>
      <c r="BK78" s="287"/>
      <c r="BL78" s="287"/>
      <c r="BM78" s="287"/>
      <c r="BN78" s="287"/>
      <c r="BO78" s="287"/>
      <c r="BP78" s="287"/>
      <c r="BQ78" s="287"/>
      <c r="BR78" s="287"/>
      <c r="BS78" s="287"/>
      <c r="BT78" s="287"/>
      <c r="BU78" s="287"/>
      <c r="BV78" s="287"/>
      <c r="BW78" s="287"/>
      <c r="BX78" s="286"/>
      <c r="BY78" s="289"/>
      <c r="BZ78" s="289"/>
      <c r="CA78" s="289"/>
      <c r="CB78" s="289"/>
      <c r="CC78" s="289"/>
      <c r="CD78" s="289"/>
      <c r="CE78" s="289"/>
      <c r="CF78" s="289"/>
      <c r="CG78" s="287"/>
      <c r="CH78" s="287"/>
      <c r="CI78" s="287"/>
      <c r="CJ78" s="287"/>
      <c r="CK78" s="287"/>
      <c r="CL78" s="287">
        <v>32</v>
      </c>
      <c r="CM78" s="287"/>
      <c r="CN78" s="287"/>
      <c r="CO78" s="287"/>
      <c r="CP78" s="287"/>
      <c r="CQ78" s="287"/>
      <c r="CR78" s="287"/>
      <c r="CS78" s="6"/>
      <c r="CT78" s="6"/>
      <c r="CU78" s="6"/>
      <c r="CV78" s="6"/>
      <c r="CW78" s="6"/>
      <c r="CX78" s="6"/>
      <c r="CY78" s="6"/>
      <c r="CZ78" s="6"/>
      <c r="DA78" s="343"/>
      <c r="DH78" s="238"/>
    </row>
    <row r="79" spans="1:112" ht="20" customHeight="1" x14ac:dyDescent="0.35">
      <c r="A79" s="301" t="s">
        <v>2084</v>
      </c>
      <c r="B79" s="132" t="s">
        <v>2051</v>
      </c>
      <c r="C79" s="132" t="s">
        <v>1913</v>
      </c>
      <c r="D79" s="270" t="s">
        <v>34</v>
      </c>
      <c r="E79" s="270" t="s">
        <v>54</v>
      </c>
      <c r="F79" s="270" t="s">
        <v>2052</v>
      </c>
      <c r="G79" s="132" t="s">
        <v>38</v>
      </c>
      <c r="H79" s="355"/>
      <c r="I79" s="286"/>
      <c r="J79" s="286"/>
      <c r="K79" s="286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294"/>
      <c r="W79" s="286"/>
      <c r="X79" s="286"/>
      <c r="Y79" s="286"/>
      <c r="Z79" s="286"/>
      <c r="AA79" s="286">
        <v>6.4</v>
      </c>
      <c r="AB79" s="286"/>
      <c r="AC79" s="286"/>
      <c r="AD79" s="300"/>
      <c r="AE79" s="286"/>
      <c r="AF79" s="286"/>
      <c r="AG79" s="286"/>
      <c r="AH79" s="286"/>
      <c r="AI79" s="286"/>
      <c r="AJ79" s="286"/>
      <c r="AK79" s="287"/>
      <c r="AL79" s="288"/>
      <c r="AM79" s="287"/>
      <c r="AN79" s="287"/>
      <c r="AO79" s="287"/>
      <c r="AP79" s="286"/>
      <c r="AQ79" s="296"/>
      <c r="AR79" s="286"/>
      <c r="AS79" s="286"/>
      <c r="AT79" s="286"/>
      <c r="AU79" s="286"/>
      <c r="AV79" s="286"/>
      <c r="AW79" s="286"/>
      <c r="AX79" s="286"/>
      <c r="AY79" s="286"/>
      <c r="AZ79" s="286"/>
      <c r="BA79" s="286"/>
      <c r="BB79" s="286"/>
      <c r="BC79" s="286"/>
      <c r="BD79" s="287"/>
      <c r="BE79" s="287"/>
      <c r="BF79" s="287"/>
      <c r="BG79" s="288"/>
      <c r="BH79" s="287"/>
      <c r="BI79" s="287"/>
      <c r="BJ79" s="287"/>
      <c r="BK79" s="287"/>
      <c r="BL79" s="287"/>
      <c r="BM79" s="287"/>
      <c r="BN79" s="287"/>
      <c r="BO79" s="287"/>
      <c r="BP79" s="287"/>
      <c r="BQ79" s="287"/>
      <c r="BR79" s="287"/>
      <c r="BS79" s="287"/>
      <c r="BT79" s="287"/>
      <c r="BU79" s="287"/>
      <c r="BV79" s="287"/>
      <c r="BW79" s="287"/>
      <c r="BX79" s="286"/>
      <c r="BY79" s="289"/>
      <c r="BZ79" s="289"/>
      <c r="CA79" s="289"/>
      <c r="CB79" s="289"/>
      <c r="CC79" s="289"/>
      <c r="CD79" s="289"/>
      <c r="CE79" s="289"/>
      <c r="CF79" s="289"/>
      <c r="CG79" s="287"/>
      <c r="CH79" s="287"/>
      <c r="CI79" s="287"/>
      <c r="CJ79" s="287"/>
      <c r="CK79" s="287"/>
      <c r="CL79" s="287"/>
      <c r="CM79" s="287"/>
      <c r="CN79" s="287"/>
      <c r="CO79" s="287"/>
      <c r="CP79" s="287"/>
      <c r="CQ79" s="287">
        <v>6.4</v>
      </c>
      <c r="CR79" s="287"/>
      <c r="CS79" s="6"/>
      <c r="CT79" s="6"/>
      <c r="CU79" s="6"/>
      <c r="CV79" s="6"/>
      <c r="CW79" s="6"/>
      <c r="CX79" s="6"/>
      <c r="CY79" s="6"/>
      <c r="CZ79" s="6"/>
      <c r="DA79" s="343"/>
      <c r="DH79" s="238"/>
    </row>
    <row r="80" spans="1:112" ht="20" customHeight="1" x14ac:dyDescent="0.35">
      <c r="A80" s="301"/>
      <c r="B80" s="270" t="s">
        <v>1917</v>
      </c>
      <c r="C80" s="270" t="s">
        <v>1931</v>
      </c>
      <c r="D80" s="270" t="s">
        <v>34</v>
      </c>
      <c r="E80" s="270" t="s">
        <v>54</v>
      </c>
      <c r="F80" s="273" t="s">
        <v>1934</v>
      </c>
      <c r="G80" s="270" t="s">
        <v>31</v>
      </c>
      <c r="H80" s="291"/>
      <c r="I80" s="286"/>
      <c r="J80" s="286"/>
      <c r="K80" s="286"/>
      <c r="L80" s="286"/>
      <c r="M80" s="286"/>
      <c r="N80" s="286"/>
      <c r="O80" s="286"/>
      <c r="P80" s="286"/>
      <c r="Q80" s="286"/>
      <c r="R80" s="286"/>
      <c r="S80" s="286"/>
      <c r="T80" s="286"/>
      <c r="U80" s="286"/>
      <c r="V80" s="294"/>
      <c r="W80" s="286"/>
      <c r="X80" s="286"/>
      <c r="Y80" s="286"/>
      <c r="Z80" s="286"/>
      <c r="AA80" s="286"/>
      <c r="AB80" s="286"/>
      <c r="AC80" s="286"/>
      <c r="AD80" s="300"/>
      <c r="AE80" s="286"/>
      <c r="AF80" s="286"/>
      <c r="AG80" s="286"/>
      <c r="AH80" s="286"/>
      <c r="AI80" s="286"/>
      <c r="AJ80" s="286"/>
      <c r="AK80" s="287"/>
      <c r="AL80" s="288"/>
      <c r="AM80" s="287"/>
      <c r="AN80" s="287"/>
      <c r="AO80" s="287"/>
      <c r="AP80" s="286"/>
      <c r="AQ80" s="296"/>
      <c r="AR80" s="286"/>
      <c r="AS80" s="286"/>
      <c r="AT80" s="286"/>
      <c r="AU80" s="286"/>
      <c r="AV80" s="286"/>
      <c r="AW80" s="286"/>
      <c r="AX80" s="286"/>
      <c r="AY80" s="286"/>
      <c r="AZ80" s="286"/>
      <c r="BA80" s="286"/>
      <c r="BB80" s="286"/>
      <c r="BC80" s="286"/>
      <c r="BD80" s="287"/>
      <c r="BE80" s="287"/>
      <c r="BF80" s="287"/>
      <c r="BG80" s="288"/>
      <c r="BH80" s="287"/>
      <c r="BI80" s="287"/>
      <c r="BJ80" s="287"/>
      <c r="BK80" s="287"/>
      <c r="BL80" s="287"/>
      <c r="BM80" s="287"/>
      <c r="BN80" s="287"/>
      <c r="BO80" s="287"/>
      <c r="BP80" s="287"/>
      <c r="BQ80" s="287"/>
      <c r="BR80" s="287"/>
      <c r="BS80" s="287"/>
      <c r="BT80" s="287"/>
      <c r="BU80" s="287"/>
      <c r="BV80" s="287"/>
      <c r="BW80" s="287"/>
      <c r="BX80" s="286"/>
      <c r="BY80" s="289"/>
      <c r="BZ80" s="289"/>
      <c r="CA80" s="289"/>
      <c r="CB80" s="289"/>
      <c r="CC80" s="289"/>
      <c r="CD80" s="289"/>
      <c r="CE80" s="289"/>
      <c r="CF80" s="289"/>
      <c r="CG80" s="287"/>
      <c r="CH80" s="287"/>
      <c r="CI80" s="287"/>
      <c r="CJ80" s="287"/>
      <c r="CK80" s="287">
        <v>4.8</v>
      </c>
      <c r="CL80" s="287"/>
      <c r="CM80" s="287"/>
      <c r="CN80" s="287"/>
      <c r="CO80" s="287"/>
      <c r="CP80" s="287"/>
      <c r="CQ80" s="287"/>
      <c r="CR80" s="287"/>
      <c r="CS80" s="6"/>
      <c r="CT80" s="6"/>
      <c r="CU80" s="6"/>
      <c r="CV80" s="6"/>
      <c r="CW80" s="6"/>
      <c r="CX80" s="6"/>
      <c r="CY80" s="6"/>
      <c r="CZ80" s="6"/>
      <c r="DA80" s="343"/>
      <c r="DH80" s="238"/>
    </row>
    <row r="81" spans="1:112" ht="20" customHeight="1" x14ac:dyDescent="0.35">
      <c r="A81" s="301" t="s">
        <v>2085</v>
      </c>
      <c r="B81" s="270" t="s">
        <v>2044</v>
      </c>
      <c r="C81" s="270" t="s">
        <v>2049</v>
      </c>
      <c r="D81" s="270" t="s">
        <v>513</v>
      </c>
      <c r="E81" s="270" t="s">
        <v>34</v>
      </c>
      <c r="F81" s="270" t="s">
        <v>2287</v>
      </c>
      <c r="G81" s="270" t="s">
        <v>38</v>
      </c>
      <c r="H81" s="291"/>
      <c r="I81" s="286"/>
      <c r="J81" s="286"/>
      <c r="K81" s="286"/>
      <c r="L81" s="286"/>
      <c r="M81" s="286"/>
      <c r="N81" s="286"/>
      <c r="O81" s="286"/>
      <c r="P81" s="286"/>
      <c r="Q81" s="286"/>
      <c r="R81" s="286"/>
      <c r="S81" s="286"/>
      <c r="T81" s="286"/>
      <c r="U81" s="286"/>
      <c r="V81" s="294"/>
      <c r="W81" s="286"/>
      <c r="X81" s="286"/>
      <c r="Y81" s="286"/>
      <c r="Z81" s="286"/>
      <c r="AA81" s="286"/>
      <c r="AB81" s="286"/>
      <c r="AC81" s="286"/>
      <c r="AD81" s="300"/>
      <c r="AE81" s="286"/>
      <c r="AF81" s="286"/>
      <c r="AG81" s="286"/>
      <c r="AH81" s="286"/>
      <c r="AI81" s="286"/>
      <c r="AJ81" s="286"/>
      <c r="AK81" s="287"/>
      <c r="AL81" s="288"/>
      <c r="AM81" s="287"/>
      <c r="AN81" s="287"/>
      <c r="AO81" s="287"/>
      <c r="AP81" s="286"/>
      <c r="AQ81" s="296"/>
      <c r="AR81" s="286"/>
      <c r="AS81" s="286"/>
      <c r="AT81" s="286"/>
      <c r="AU81" s="286"/>
      <c r="AV81" s="286"/>
      <c r="AW81" s="286"/>
      <c r="AX81" s="286"/>
      <c r="AY81" s="286"/>
      <c r="AZ81" s="286"/>
      <c r="BA81" s="286"/>
      <c r="BB81" s="286"/>
      <c r="BC81" s="286"/>
      <c r="BD81" s="287"/>
      <c r="BE81" s="287"/>
      <c r="BF81" s="287"/>
      <c r="BG81" s="288"/>
      <c r="BH81" s="287"/>
      <c r="BI81" s="287"/>
      <c r="BJ81" s="287"/>
      <c r="BK81" s="287"/>
      <c r="BL81" s="287"/>
      <c r="BM81" s="287"/>
      <c r="BN81" s="287"/>
      <c r="BO81" s="287"/>
      <c r="BP81" s="287"/>
      <c r="BQ81" s="287"/>
      <c r="BR81" s="287"/>
      <c r="BS81" s="287"/>
      <c r="BT81" s="287"/>
      <c r="BU81" s="287"/>
      <c r="BV81" s="287"/>
      <c r="BW81" s="287"/>
      <c r="BX81" s="286"/>
      <c r="BY81" s="289"/>
      <c r="BZ81" s="289"/>
      <c r="CA81" s="289"/>
      <c r="CB81" s="289"/>
      <c r="CC81" s="289"/>
      <c r="CD81" s="289"/>
      <c r="CE81" s="289"/>
      <c r="CF81" s="289"/>
      <c r="CG81" s="287"/>
      <c r="CH81" s="287"/>
      <c r="CI81" s="287"/>
      <c r="CJ81" s="287"/>
      <c r="CK81" s="287"/>
      <c r="CL81" s="287"/>
      <c r="CM81" s="287"/>
      <c r="CN81" s="287"/>
      <c r="CO81" s="287"/>
      <c r="CP81" s="287"/>
      <c r="CQ81" s="287">
        <v>4.5999999999999996</v>
      </c>
      <c r="CR81" s="287"/>
      <c r="CS81" s="6"/>
      <c r="CT81" s="6"/>
      <c r="CU81" s="6"/>
      <c r="CV81" s="6"/>
      <c r="CW81" s="6"/>
      <c r="CX81" s="6"/>
      <c r="CY81" s="6"/>
      <c r="CZ81" s="6"/>
      <c r="DA81" s="343"/>
      <c r="DH81" s="238"/>
    </row>
    <row r="82" spans="1:112" ht="20" customHeight="1" x14ac:dyDescent="0.35">
      <c r="A82" s="301"/>
      <c r="B82" s="270" t="s">
        <v>2056</v>
      </c>
      <c r="C82" s="270" t="s">
        <v>2057</v>
      </c>
      <c r="D82" s="297" t="s">
        <v>513</v>
      </c>
      <c r="E82" s="270" t="s">
        <v>54</v>
      </c>
      <c r="F82" s="270" t="s">
        <v>2055</v>
      </c>
      <c r="G82" s="270" t="s">
        <v>1962</v>
      </c>
      <c r="H82" s="291"/>
      <c r="I82" s="286"/>
      <c r="J82" s="286"/>
      <c r="K82" s="286"/>
      <c r="L82" s="286"/>
      <c r="M82" s="286"/>
      <c r="N82" s="286"/>
      <c r="O82" s="286"/>
      <c r="P82" s="286"/>
      <c r="Q82" s="286"/>
      <c r="R82" s="286"/>
      <c r="S82" s="286"/>
      <c r="T82" s="286"/>
      <c r="U82" s="286"/>
      <c r="V82" s="294"/>
      <c r="W82" s="286"/>
      <c r="X82" s="286"/>
      <c r="Y82" s="286"/>
      <c r="Z82" s="286"/>
      <c r="AA82" s="286"/>
      <c r="AB82" s="286"/>
      <c r="AC82" s="286"/>
      <c r="AD82" s="300"/>
      <c r="AE82" s="286"/>
      <c r="AF82" s="286"/>
      <c r="AG82" s="286"/>
      <c r="AH82" s="286"/>
      <c r="AI82" s="286"/>
      <c r="AJ82" s="286"/>
      <c r="AK82" s="287"/>
      <c r="AL82" s="288"/>
      <c r="AM82" s="287"/>
      <c r="AN82" s="287"/>
      <c r="AO82" s="287"/>
      <c r="AP82" s="286"/>
      <c r="AQ82" s="296"/>
      <c r="AR82" s="286"/>
      <c r="AS82" s="286"/>
      <c r="AT82" s="286"/>
      <c r="AU82" s="286"/>
      <c r="AV82" s="286"/>
      <c r="AW82" s="286"/>
      <c r="AX82" s="286"/>
      <c r="AY82" s="286"/>
      <c r="AZ82" s="286"/>
      <c r="BA82" s="286"/>
      <c r="BB82" s="286"/>
      <c r="BC82" s="286"/>
      <c r="BD82" s="287"/>
      <c r="BE82" s="287"/>
      <c r="BF82" s="287"/>
      <c r="BG82" s="288"/>
      <c r="BH82" s="287"/>
      <c r="BI82" s="287"/>
      <c r="BJ82" s="287"/>
      <c r="BK82" s="287"/>
      <c r="BL82" s="287"/>
      <c r="BM82" s="287"/>
      <c r="BN82" s="287"/>
      <c r="BO82" s="287"/>
      <c r="BP82" s="287"/>
      <c r="BQ82" s="287"/>
      <c r="BR82" s="287"/>
      <c r="BS82" s="287"/>
      <c r="BT82" s="287"/>
      <c r="BU82" s="287"/>
      <c r="BV82" s="287"/>
      <c r="BW82" s="287"/>
      <c r="BX82" s="286"/>
      <c r="BY82" s="289"/>
      <c r="BZ82" s="289"/>
      <c r="CA82" s="289"/>
      <c r="CB82" s="289"/>
      <c r="CC82" s="289"/>
      <c r="CD82" s="289"/>
      <c r="CE82" s="289"/>
      <c r="CF82" s="289"/>
      <c r="CG82" s="287"/>
      <c r="CH82" s="287"/>
      <c r="CI82" s="287"/>
      <c r="CJ82" s="287"/>
      <c r="CK82" s="287"/>
      <c r="CL82" s="287"/>
      <c r="CM82" s="287"/>
      <c r="CN82" s="287"/>
      <c r="CO82" s="287"/>
      <c r="CP82" s="287">
        <v>1.2</v>
      </c>
      <c r="CQ82" s="287"/>
      <c r="CR82" s="287"/>
      <c r="CS82" s="6"/>
      <c r="CT82" s="6"/>
      <c r="CU82" s="6"/>
      <c r="CV82" s="6"/>
      <c r="CW82" s="6"/>
      <c r="CX82" s="6"/>
      <c r="CY82" s="6"/>
      <c r="CZ82" s="6"/>
      <c r="DA82" s="343"/>
      <c r="DH82" s="238"/>
    </row>
    <row r="83" spans="1:112" ht="20" customHeight="1" x14ac:dyDescent="0.35">
      <c r="A83" s="301"/>
      <c r="B83" s="270"/>
      <c r="C83" s="270"/>
      <c r="D83" s="297"/>
      <c r="E83" s="270"/>
      <c r="F83" s="270"/>
      <c r="G83" s="270"/>
      <c r="H83" s="291"/>
      <c r="I83" s="286"/>
      <c r="J83" s="286"/>
      <c r="K83" s="286"/>
      <c r="L83" s="286"/>
      <c r="M83" s="286"/>
      <c r="N83" s="286"/>
      <c r="O83" s="286"/>
      <c r="P83" s="286"/>
      <c r="Q83" s="286"/>
      <c r="R83" s="286"/>
      <c r="S83" s="286"/>
      <c r="T83" s="286"/>
      <c r="U83" s="286"/>
      <c r="V83" s="294"/>
      <c r="W83" s="286"/>
      <c r="X83" s="286"/>
      <c r="Y83" s="286"/>
      <c r="Z83" s="286"/>
      <c r="AA83" s="286"/>
      <c r="AB83" s="286"/>
      <c r="AC83" s="286"/>
      <c r="AD83" s="300"/>
      <c r="AE83" s="286"/>
      <c r="AF83" s="286"/>
      <c r="AG83" s="286"/>
      <c r="AH83" s="286"/>
      <c r="AI83" s="286"/>
      <c r="AJ83" s="286"/>
      <c r="AK83" s="287"/>
      <c r="AL83" s="288"/>
      <c r="AM83" s="287"/>
      <c r="AN83" s="287"/>
      <c r="AO83" s="287"/>
      <c r="AP83" s="286"/>
      <c r="AQ83" s="296"/>
      <c r="AR83" s="286"/>
      <c r="AS83" s="286"/>
      <c r="AT83" s="286"/>
      <c r="AU83" s="286"/>
      <c r="AV83" s="286"/>
      <c r="AW83" s="286"/>
      <c r="AX83" s="286"/>
      <c r="AY83" s="286"/>
      <c r="AZ83" s="286"/>
      <c r="BA83" s="286"/>
      <c r="BB83" s="286"/>
      <c r="BC83" s="286"/>
      <c r="BD83" s="287"/>
      <c r="BE83" s="287"/>
      <c r="BF83" s="287"/>
      <c r="BG83" s="288"/>
      <c r="BH83" s="287"/>
      <c r="BI83" s="287"/>
      <c r="BJ83" s="287"/>
      <c r="BK83" s="287"/>
      <c r="BL83" s="287"/>
      <c r="BM83" s="287"/>
      <c r="BN83" s="287"/>
      <c r="BO83" s="287"/>
      <c r="BP83" s="287"/>
      <c r="BQ83" s="287"/>
      <c r="BR83" s="287"/>
      <c r="BS83" s="287"/>
      <c r="BT83" s="287"/>
      <c r="BU83" s="287"/>
      <c r="BV83" s="287"/>
      <c r="BW83" s="287"/>
      <c r="BX83" s="286"/>
      <c r="BY83" s="289"/>
      <c r="BZ83" s="289"/>
      <c r="CA83" s="289"/>
      <c r="CB83" s="289"/>
      <c r="CC83" s="289"/>
      <c r="CD83" s="289"/>
      <c r="CE83" s="289"/>
      <c r="CF83" s="289"/>
      <c r="CG83" s="287"/>
      <c r="CH83" s="287"/>
      <c r="CI83" s="287"/>
      <c r="CJ83" s="287"/>
      <c r="CK83" s="287"/>
      <c r="CL83" s="287"/>
      <c r="CM83" s="287"/>
      <c r="CN83" s="287"/>
      <c r="CO83" s="287"/>
      <c r="CP83" s="287"/>
      <c r="CQ83" s="287"/>
      <c r="CR83" s="287"/>
      <c r="CS83" s="6"/>
      <c r="CT83" s="6"/>
      <c r="CU83" s="6"/>
      <c r="CV83" s="6"/>
      <c r="CW83" s="6"/>
      <c r="CX83" s="6"/>
      <c r="CY83" s="6"/>
      <c r="CZ83" s="6"/>
      <c r="DA83" s="343"/>
      <c r="DH83" s="238"/>
    </row>
    <row r="84" spans="1:112" ht="20" customHeight="1" x14ac:dyDescent="0.35">
      <c r="A84" s="301"/>
      <c r="B84" s="270"/>
      <c r="C84" s="270"/>
      <c r="D84" s="297"/>
      <c r="E84" s="270"/>
      <c r="F84" s="270"/>
      <c r="G84" s="270"/>
      <c r="H84" s="291"/>
      <c r="I84" s="286"/>
      <c r="J84" s="286"/>
      <c r="K84" s="286"/>
      <c r="L84" s="286"/>
      <c r="M84" s="286"/>
      <c r="N84" s="286"/>
      <c r="O84" s="286"/>
      <c r="P84" s="286"/>
      <c r="Q84" s="286"/>
      <c r="R84" s="286"/>
      <c r="S84" s="286"/>
      <c r="T84" s="286"/>
      <c r="U84" s="286"/>
      <c r="V84" s="294"/>
      <c r="W84" s="286"/>
      <c r="X84" s="286"/>
      <c r="Y84" s="286"/>
      <c r="Z84" s="286"/>
      <c r="AA84" s="286"/>
      <c r="AB84" s="286"/>
      <c r="AC84" s="286"/>
      <c r="AD84" s="300"/>
      <c r="AE84" s="286"/>
      <c r="AF84" s="286"/>
      <c r="AG84" s="286"/>
      <c r="AH84" s="286"/>
      <c r="AI84" s="286"/>
      <c r="AJ84" s="286"/>
      <c r="AK84" s="287"/>
      <c r="AL84" s="288"/>
      <c r="AM84" s="287"/>
      <c r="AN84" s="287"/>
      <c r="AO84" s="287"/>
      <c r="AP84" s="286"/>
      <c r="AQ84" s="296"/>
      <c r="AR84" s="286"/>
      <c r="AS84" s="286"/>
      <c r="AT84" s="286"/>
      <c r="AU84" s="286"/>
      <c r="AV84" s="286"/>
      <c r="AW84" s="286"/>
      <c r="AX84" s="286"/>
      <c r="AY84" s="286"/>
      <c r="AZ84" s="286"/>
      <c r="BA84" s="286"/>
      <c r="BB84" s="286"/>
      <c r="BC84" s="286"/>
      <c r="BD84" s="287"/>
      <c r="BE84" s="287"/>
      <c r="BF84" s="287"/>
      <c r="BG84" s="288"/>
      <c r="BH84" s="287"/>
      <c r="BI84" s="287"/>
      <c r="BJ84" s="287"/>
      <c r="BK84" s="287"/>
      <c r="BL84" s="287"/>
      <c r="BM84" s="287"/>
      <c r="BN84" s="287"/>
      <c r="BO84" s="287"/>
      <c r="BP84" s="287"/>
      <c r="BQ84" s="287"/>
      <c r="BR84" s="287"/>
      <c r="BS84" s="287"/>
      <c r="BT84" s="287"/>
      <c r="BU84" s="287"/>
      <c r="BV84" s="287"/>
      <c r="BW84" s="287"/>
      <c r="BX84" s="286"/>
      <c r="BY84" s="289"/>
      <c r="BZ84" s="289"/>
      <c r="CA84" s="289"/>
      <c r="CB84" s="289"/>
      <c r="CC84" s="289"/>
      <c r="CD84" s="289"/>
      <c r="CE84" s="289"/>
      <c r="CF84" s="289"/>
      <c r="CG84" s="287"/>
      <c r="CH84" s="287"/>
      <c r="CI84" s="287"/>
      <c r="CJ84" s="287"/>
      <c r="CK84" s="287"/>
      <c r="CL84" s="287"/>
      <c r="CM84" s="287"/>
      <c r="CN84" s="287"/>
      <c r="CO84" s="287"/>
      <c r="CP84" s="287"/>
      <c r="CQ84" s="287"/>
      <c r="CR84" s="287"/>
      <c r="CS84" s="6"/>
      <c r="CT84" s="6"/>
      <c r="CU84" s="6"/>
      <c r="CV84" s="6"/>
      <c r="CW84" s="6"/>
      <c r="CX84" s="6"/>
      <c r="CY84" s="6"/>
      <c r="CZ84" s="6"/>
      <c r="DA84" s="343"/>
      <c r="DH84" s="238"/>
    </row>
    <row r="85" spans="1:112" ht="20" customHeight="1" x14ac:dyDescent="0.35">
      <c r="A85" s="301"/>
      <c r="B85" s="270" t="s">
        <v>2283</v>
      </c>
      <c r="C85" s="270" t="s">
        <v>2286</v>
      </c>
      <c r="D85" s="297" t="s">
        <v>34</v>
      </c>
      <c r="E85" s="270" t="s">
        <v>34</v>
      </c>
      <c r="F85" s="270" t="s">
        <v>2287</v>
      </c>
      <c r="G85" s="270" t="s">
        <v>38</v>
      </c>
      <c r="H85" s="291"/>
      <c r="I85" s="286"/>
      <c r="J85" s="286"/>
      <c r="K85" s="286"/>
      <c r="L85" s="286"/>
      <c r="M85" s="286"/>
      <c r="N85" s="286"/>
      <c r="O85" s="286">
        <v>7</v>
      </c>
      <c r="P85" s="286"/>
      <c r="Q85" s="286"/>
      <c r="R85" s="286"/>
      <c r="S85" s="286"/>
      <c r="T85" s="286"/>
      <c r="U85" s="286"/>
      <c r="V85" s="294"/>
      <c r="W85" s="286"/>
      <c r="X85" s="286"/>
      <c r="Y85" s="286"/>
      <c r="Z85" s="286"/>
      <c r="AA85" s="286"/>
      <c r="AB85" s="286"/>
      <c r="AC85" s="286"/>
      <c r="AD85" s="300"/>
      <c r="AE85" s="286"/>
      <c r="AF85" s="286"/>
      <c r="AG85" s="286"/>
      <c r="AH85" s="286"/>
      <c r="AI85" s="286"/>
      <c r="AJ85" s="286"/>
      <c r="AK85" s="287"/>
      <c r="AL85" s="288"/>
      <c r="AM85" s="287"/>
      <c r="AN85" s="287"/>
      <c r="AO85" s="287"/>
      <c r="AP85" s="286"/>
      <c r="AQ85" s="296"/>
      <c r="AR85" s="286"/>
      <c r="AS85" s="286"/>
      <c r="AT85" s="286"/>
      <c r="AU85" s="286"/>
      <c r="AV85" s="286"/>
      <c r="AW85" s="286"/>
      <c r="AX85" s="286"/>
      <c r="AY85" s="286"/>
      <c r="AZ85" s="286"/>
      <c r="BA85" s="286"/>
      <c r="BB85" s="286"/>
      <c r="BC85" s="286"/>
      <c r="BD85" s="287"/>
      <c r="BE85" s="287"/>
      <c r="BF85" s="287"/>
      <c r="BG85" s="288"/>
      <c r="BH85" s="287"/>
      <c r="BI85" s="287"/>
      <c r="BJ85" s="287"/>
      <c r="BK85" s="287"/>
      <c r="BL85" s="287"/>
      <c r="BM85" s="287"/>
      <c r="BN85" s="287"/>
      <c r="BO85" s="287"/>
      <c r="BP85" s="287"/>
      <c r="BQ85" s="287"/>
      <c r="BR85" s="287"/>
      <c r="BS85" s="287"/>
      <c r="BT85" s="287"/>
      <c r="BU85" s="287"/>
      <c r="BV85" s="287"/>
      <c r="BW85" s="287"/>
      <c r="BX85" s="286"/>
      <c r="BY85" s="289"/>
      <c r="BZ85" s="289"/>
      <c r="CA85" s="289"/>
      <c r="CB85" s="289"/>
      <c r="CC85" s="289"/>
      <c r="CD85" s="289"/>
      <c r="CE85" s="289"/>
      <c r="CF85" s="289"/>
      <c r="CG85" s="287"/>
      <c r="CH85" s="287"/>
      <c r="CI85" s="287"/>
      <c r="CJ85" s="287"/>
      <c r="CK85" s="287"/>
      <c r="CL85" s="287"/>
      <c r="CM85" s="287"/>
      <c r="CN85" s="287"/>
      <c r="CO85" s="287"/>
      <c r="CP85" s="287"/>
      <c r="CQ85" s="287"/>
      <c r="CR85" s="287"/>
      <c r="CS85" s="6"/>
      <c r="CT85" s="6"/>
      <c r="CU85" s="6"/>
      <c r="CV85" s="6"/>
      <c r="CW85" s="6"/>
      <c r="CX85" s="6"/>
      <c r="CY85" s="6"/>
      <c r="CZ85" s="6"/>
      <c r="DA85" s="343"/>
      <c r="DH85" s="238"/>
    </row>
    <row r="86" spans="1:112" ht="20" customHeight="1" x14ac:dyDescent="0.35">
      <c r="A86" s="301"/>
      <c r="B86" s="270" t="s">
        <v>2258</v>
      </c>
      <c r="C86" s="270" t="s">
        <v>2057</v>
      </c>
      <c r="D86" s="297" t="s">
        <v>513</v>
      </c>
      <c r="E86" s="270" t="s">
        <v>54</v>
      </c>
      <c r="F86" s="270" t="s">
        <v>2260</v>
      </c>
      <c r="G86" s="270" t="s">
        <v>1962</v>
      </c>
      <c r="H86" s="291"/>
      <c r="I86" s="286"/>
      <c r="J86" s="286"/>
      <c r="K86" s="286"/>
      <c r="L86" s="286"/>
      <c r="M86" s="286"/>
      <c r="N86" s="286"/>
      <c r="O86" s="286"/>
      <c r="P86" s="286"/>
      <c r="Q86" s="286"/>
      <c r="R86" s="286"/>
      <c r="S86" s="286"/>
      <c r="T86" s="286"/>
      <c r="U86" s="286"/>
      <c r="V86" s="294"/>
      <c r="W86" s="286"/>
      <c r="X86" s="286"/>
      <c r="Y86" s="286"/>
      <c r="Z86" s="286"/>
      <c r="AA86" s="286">
        <v>1.5</v>
      </c>
      <c r="AB86" s="286"/>
      <c r="AC86" s="286"/>
      <c r="AD86" s="300"/>
      <c r="AE86" s="286"/>
      <c r="AF86" s="286"/>
      <c r="AG86" s="286"/>
      <c r="AH86" s="286"/>
      <c r="AI86" s="286"/>
      <c r="AJ86" s="286"/>
      <c r="AK86" s="287"/>
      <c r="AL86" s="288"/>
      <c r="AM86" s="287"/>
      <c r="AN86" s="287"/>
      <c r="AO86" s="287"/>
      <c r="AP86" s="286"/>
      <c r="AQ86" s="296"/>
      <c r="AR86" s="286"/>
      <c r="AS86" s="286"/>
      <c r="AT86" s="286"/>
      <c r="AU86" s="286"/>
      <c r="AV86" s="286"/>
      <c r="AW86" s="286"/>
      <c r="AX86" s="286"/>
      <c r="AY86" s="286"/>
      <c r="AZ86" s="286"/>
      <c r="BA86" s="286"/>
      <c r="BB86" s="286"/>
      <c r="BC86" s="286"/>
      <c r="BD86" s="287"/>
      <c r="BE86" s="287"/>
      <c r="BF86" s="287"/>
      <c r="BG86" s="288"/>
      <c r="BH86" s="287"/>
      <c r="BI86" s="287"/>
      <c r="BJ86" s="287"/>
      <c r="BK86" s="287"/>
      <c r="BL86" s="287"/>
      <c r="BM86" s="287"/>
      <c r="BN86" s="287"/>
      <c r="BO86" s="287"/>
      <c r="BP86" s="287"/>
      <c r="BQ86" s="287"/>
      <c r="BR86" s="287"/>
      <c r="BS86" s="287"/>
      <c r="BT86" s="287"/>
      <c r="BU86" s="287"/>
      <c r="BV86" s="287"/>
      <c r="BW86" s="287"/>
      <c r="BX86" s="286"/>
      <c r="BY86" s="289"/>
      <c r="BZ86" s="289"/>
      <c r="CA86" s="289"/>
      <c r="CB86" s="289"/>
      <c r="CC86" s="289"/>
      <c r="CD86" s="289"/>
      <c r="CE86" s="289"/>
      <c r="CF86" s="289"/>
      <c r="CG86" s="287"/>
      <c r="CH86" s="287"/>
      <c r="CI86" s="287"/>
      <c r="CJ86" s="287"/>
      <c r="CK86" s="287"/>
      <c r="CL86" s="287"/>
      <c r="CM86" s="287"/>
      <c r="CN86" s="287"/>
      <c r="CO86" s="287"/>
      <c r="CP86" s="287">
        <v>1.2</v>
      </c>
      <c r="CQ86" s="287"/>
      <c r="CR86" s="287"/>
      <c r="CS86" s="6"/>
      <c r="CT86" s="6"/>
      <c r="CU86" s="6"/>
      <c r="CV86" s="6"/>
      <c r="CW86" s="6"/>
      <c r="CX86" s="6"/>
      <c r="CY86" s="6"/>
      <c r="CZ86" s="6"/>
      <c r="DA86" s="343"/>
      <c r="DH86" s="238"/>
    </row>
    <row r="87" spans="1:112" ht="20" customHeight="1" x14ac:dyDescent="0.35">
      <c r="A87" s="301"/>
      <c r="B87" s="270" t="s">
        <v>2262</v>
      </c>
      <c r="C87" s="270" t="s">
        <v>2259</v>
      </c>
      <c r="D87" s="297" t="s">
        <v>513</v>
      </c>
      <c r="E87" s="270" t="s">
        <v>54</v>
      </c>
      <c r="F87" s="270" t="s">
        <v>2260</v>
      </c>
      <c r="G87" s="270" t="s">
        <v>1962</v>
      </c>
      <c r="H87" s="291"/>
      <c r="I87" s="286"/>
      <c r="J87" s="286"/>
      <c r="K87" s="286"/>
      <c r="L87" s="286"/>
      <c r="M87" s="286"/>
      <c r="N87" s="286"/>
      <c r="O87" s="286"/>
      <c r="P87" s="286"/>
      <c r="Q87" s="286"/>
      <c r="R87" s="286"/>
      <c r="S87" s="286"/>
      <c r="T87" s="286"/>
      <c r="U87" s="286"/>
      <c r="V87" s="294"/>
      <c r="W87" s="286"/>
      <c r="X87" s="286"/>
      <c r="Y87" s="286"/>
      <c r="Z87" s="286"/>
      <c r="AA87" s="286">
        <v>2.5</v>
      </c>
      <c r="AB87" s="286"/>
      <c r="AC87" s="286"/>
      <c r="AD87" s="300"/>
      <c r="AE87" s="286"/>
      <c r="AF87" s="286"/>
      <c r="AG87" s="286"/>
      <c r="AH87" s="286"/>
      <c r="AI87" s="286"/>
      <c r="AJ87" s="286"/>
      <c r="AK87" s="287"/>
      <c r="AL87" s="288"/>
      <c r="AM87" s="287"/>
      <c r="AN87" s="287"/>
      <c r="AO87" s="287"/>
      <c r="AP87" s="286"/>
      <c r="AQ87" s="296"/>
      <c r="AR87" s="286"/>
      <c r="AS87" s="286"/>
      <c r="AT87" s="286"/>
      <c r="AU87" s="286"/>
      <c r="AV87" s="286"/>
      <c r="AW87" s="286"/>
      <c r="AX87" s="286"/>
      <c r="AY87" s="286"/>
      <c r="AZ87" s="286"/>
      <c r="BA87" s="286"/>
      <c r="BB87" s="286"/>
      <c r="BC87" s="286"/>
      <c r="BD87" s="287"/>
      <c r="BE87" s="287"/>
      <c r="BF87" s="287"/>
      <c r="BG87" s="288"/>
      <c r="BH87" s="287"/>
      <c r="BI87" s="287"/>
      <c r="BJ87" s="287"/>
      <c r="BK87" s="287"/>
      <c r="BL87" s="287"/>
      <c r="BM87" s="287"/>
      <c r="BN87" s="287"/>
      <c r="BO87" s="287"/>
      <c r="BP87" s="287"/>
      <c r="BQ87" s="287"/>
      <c r="BR87" s="287"/>
      <c r="BS87" s="287"/>
      <c r="BT87" s="287"/>
      <c r="BU87" s="287"/>
      <c r="BV87" s="287"/>
      <c r="BW87" s="287"/>
      <c r="BX87" s="286"/>
      <c r="BY87" s="289"/>
      <c r="BZ87" s="289"/>
      <c r="CA87" s="289"/>
      <c r="CB87" s="289"/>
      <c r="CC87" s="289"/>
      <c r="CD87" s="289"/>
      <c r="CE87" s="289"/>
      <c r="CF87" s="289"/>
      <c r="CG87" s="287"/>
      <c r="CH87" s="287"/>
      <c r="CI87" s="287"/>
      <c r="CJ87" s="287"/>
      <c r="CK87" s="287"/>
      <c r="CL87" s="287"/>
      <c r="CM87" s="287"/>
      <c r="CN87" s="287"/>
      <c r="CO87" s="287"/>
      <c r="CP87" s="287">
        <v>1.2</v>
      </c>
      <c r="CQ87" s="287"/>
      <c r="CR87" s="287"/>
      <c r="CS87" s="6"/>
      <c r="CT87" s="6"/>
      <c r="CU87" s="6"/>
      <c r="CV87" s="6"/>
      <c r="CW87" s="6"/>
      <c r="CX87" s="6"/>
      <c r="CY87" s="6"/>
      <c r="CZ87" s="6"/>
      <c r="DA87" s="343"/>
      <c r="DH87" s="238"/>
    </row>
    <row r="88" spans="1:112" ht="20" customHeight="1" x14ac:dyDescent="0.35">
      <c r="A88" s="290"/>
      <c r="B88" s="270" t="s">
        <v>731</v>
      </c>
      <c r="C88" s="270" t="s">
        <v>183</v>
      </c>
      <c r="D88" s="297" t="s">
        <v>623</v>
      </c>
      <c r="E88" s="270" t="s">
        <v>34</v>
      </c>
      <c r="F88" s="270" t="s">
        <v>1799</v>
      </c>
      <c r="G88" s="270" t="s">
        <v>36</v>
      </c>
      <c r="H88" s="298">
        <v>44</v>
      </c>
      <c r="I88" s="292">
        <v>0</v>
      </c>
      <c r="J88" s="286"/>
      <c r="K88" s="286"/>
      <c r="L88" s="286"/>
      <c r="M88" s="286"/>
      <c r="N88" s="286"/>
      <c r="O88" s="286"/>
      <c r="P88" s="286"/>
      <c r="Q88" s="286"/>
      <c r="R88" s="286"/>
      <c r="S88" s="286"/>
      <c r="T88" s="286"/>
      <c r="U88" s="286"/>
      <c r="V88" s="286"/>
      <c r="W88" s="286"/>
      <c r="X88" s="286"/>
      <c r="Y88" s="286"/>
      <c r="Z88" s="286"/>
      <c r="AA88" s="286"/>
      <c r="AB88" s="286"/>
      <c r="AC88" s="286">
        <v>52</v>
      </c>
      <c r="AD88" s="286"/>
      <c r="AE88" s="286"/>
      <c r="AF88" s="286"/>
      <c r="AG88" s="286"/>
      <c r="AH88" s="286"/>
      <c r="AI88" s="286"/>
      <c r="AJ88" s="286"/>
      <c r="AK88" s="287"/>
      <c r="AL88" s="288"/>
      <c r="AM88" s="287"/>
      <c r="AN88" s="287"/>
      <c r="AO88" s="287"/>
      <c r="AP88" s="286"/>
      <c r="AQ88" s="296"/>
      <c r="AR88" s="286"/>
      <c r="AS88" s="286"/>
      <c r="AT88" s="286"/>
      <c r="AU88" s="286"/>
      <c r="AV88" s="286"/>
      <c r="AW88" s="286"/>
      <c r="AX88" s="286"/>
      <c r="AY88" s="286"/>
      <c r="AZ88" s="286"/>
      <c r="BA88" s="286"/>
      <c r="BB88" s="286"/>
      <c r="BC88" s="286"/>
      <c r="BD88" s="287"/>
      <c r="BE88" s="287"/>
      <c r="BF88" s="287"/>
      <c r="BG88" s="287"/>
      <c r="BH88" s="287"/>
      <c r="BI88" s="287"/>
      <c r="BJ88" s="287"/>
      <c r="BK88" s="287"/>
      <c r="BL88" s="287"/>
      <c r="BM88" s="287"/>
      <c r="BN88" s="287"/>
      <c r="BO88" s="287"/>
      <c r="BP88" s="287"/>
      <c r="BQ88" s="287"/>
      <c r="BR88" s="287"/>
      <c r="BS88" s="287"/>
      <c r="BT88" s="287"/>
      <c r="BU88" s="287"/>
      <c r="BV88" s="287"/>
      <c r="BW88" s="287"/>
      <c r="BX88" s="286"/>
      <c r="BY88" s="289"/>
      <c r="BZ88" s="289"/>
      <c r="CA88" s="289"/>
      <c r="CB88" s="289"/>
      <c r="CC88" s="289"/>
      <c r="CD88" s="289"/>
      <c r="CE88" s="289"/>
      <c r="CF88" s="289"/>
      <c r="CG88" s="287"/>
      <c r="CH88" s="287"/>
      <c r="CI88" s="287"/>
      <c r="CJ88" s="287"/>
      <c r="CK88" s="287"/>
      <c r="CL88" s="287"/>
      <c r="CM88" s="287"/>
      <c r="CN88" s="287"/>
      <c r="CO88" s="287"/>
      <c r="CP88" s="287"/>
      <c r="CQ88" s="287"/>
      <c r="CR88" s="287"/>
      <c r="CS88" s="6"/>
      <c r="CT88" s="6"/>
      <c r="CU88" s="6"/>
      <c r="CV88" s="6"/>
      <c r="CW88" s="6"/>
      <c r="CX88" s="6"/>
      <c r="CY88" s="6"/>
      <c r="CZ88" s="6"/>
      <c r="DA88" s="343">
        <f t="shared" si="5"/>
        <v>44</v>
      </c>
      <c r="DH88" s="238">
        <v>19</v>
      </c>
    </row>
    <row r="89" spans="1:112" ht="20" customHeight="1" x14ac:dyDescent="0.35">
      <c r="A89" s="301" t="s">
        <v>1969</v>
      </c>
      <c r="B89" s="270" t="s">
        <v>732</v>
      </c>
      <c r="C89" s="270" t="s">
        <v>1503</v>
      </c>
      <c r="D89" s="297" t="s">
        <v>623</v>
      </c>
      <c r="E89" s="270" t="s">
        <v>1204</v>
      </c>
      <c r="F89" s="270" t="s">
        <v>1805</v>
      </c>
      <c r="G89" s="270" t="s">
        <v>77</v>
      </c>
      <c r="H89" s="298">
        <v>11</v>
      </c>
      <c r="I89" s="286">
        <v>16</v>
      </c>
      <c r="J89" s="292">
        <v>15</v>
      </c>
      <c r="K89" s="286"/>
      <c r="L89" s="286"/>
      <c r="M89" s="286"/>
      <c r="N89" s="286"/>
      <c r="O89" s="286"/>
      <c r="P89" s="286"/>
      <c r="Q89" s="286"/>
      <c r="R89" s="286">
        <v>15</v>
      </c>
      <c r="S89" s="286"/>
      <c r="T89" s="286">
        <v>15</v>
      </c>
      <c r="U89" s="286"/>
      <c r="V89" s="294"/>
      <c r="W89" s="286"/>
      <c r="X89" s="286"/>
      <c r="Y89" s="286"/>
      <c r="Z89" s="286"/>
      <c r="AA89" s="286"/>
      <c r="AB89" s="286"/>
      <c r="AC89" s="286"/>
      <c r="AD89" s="286"/>
      <c r="AE89" s="286"/>
      <c r="AF89" s="286">
        <v>14</v>
      </c>
      <c r="AG89" s="286"/>
      <c r="AH89" s="286"/>
      <c r="AI89" s="286"/>
      <c r="AJ89" s="286"/>
      <c r="AK89" s="287"/>
      <c r="AL89" s="288"/>
      <c r="AM89" s="287"/>
      <c r="AN89" s="287"/>
      <c r="AO89" s="287"/>
      <c r="AP89" s="286"/>
      <c r="AQ89" s="296"/>
      <c r="AR89" s="286"/>
      <c r="AS89" s="286"/>
      <c r="AT89" s="286"/>
      <c r="AU89" s="286"/>
      <c r="AV89" s="286"/>
      <c r="AW89" s="286"/>
      <c r="AX89" s="286"/>
      <c r="AY89" s="286"/>
      <c r="AZ89" s="286"/>
      <c r="BA89" s="286"/>
      <c r="BB89" s="286"/>
      <c r="BC89" s="286"/>
      <c r="BD89" s="287"/>
      <c r="BE89" s="287"/>
      <c r="BF89" s="287"/>
      <c r="BG89" s="288">
        <v>14</v>
      </c>
      <c r="BH89" s="287"/>
      <c r="BI89" s="287"/>
      <c r="BJ89" s="287"/>
      <c r="BK89" s="287"/>
      <c r="BL89" s="287"/>
      <c r="BM89" s="287"/>
      <c r="BN89" s="287"/>
      <c r="BO89" s="287"/>
      <c r="BP89" s="287"/>
      <c r="BQ89" s="287"/>
      <c r="BR89" s="287"/>
      <c r="BS89" s="287">
        <v>15</v>
      </c>
      <c r="BT89" s="287"/>
      <c r="BU89" s="287"/>
      <c r="BV89" s="287"/>
      <c r="BW89" s="287"/>
      <c r="BX89" s="286"/>
      <c r="BY89" s="289">
        <v>15</v>
      </c>
      <c r="BZ89" s="289"/>
      <c r="CA89" s="289"/>
      <c r="CB89" s="289"/>
      <c r="CC89" s="289"/>
      <c r="CD89" s="289"/>
      <c r="CE89" s="289"/>
      <c r="CF89" s="289"/>
      <c r="CG89" s="287"/>
      <c r="CH89" s="287"/>
      <c r="CI89" s="287">
        <v>15</v>
      </c>
      <c r="CJ89" s="287"/>
      <c r="CK89" s="287"/>
      <c r="CL89" s="287">
        <v>16</v>
      </c>
      <c r="CM89" s="287"/>
      <c r="CN89" s="287"/>
      <c r="CO89" s="287"/>
      <c r="CP89" s="287"/>
      <c r="CQ89" s="287">
        <v>16</v>
      </c>
      <c r="CR89" s="287"/>
      <c r="CS89" s="288">
        <f>I89</f>
        <v>16</v>
      </c>
      <c r="CT89" s="6"/>
      <c r="CU89" s="6"/>
      <c r="CV89" s="6"/>
      <c r="CW89" s="6"/>
      <c r="CX89" s="6"/>
      <c r="CY89" s="6"/>
      <c r="CZ89" s="6"/>
      <c r="DA89" s="343">
        <f t="shared" si="5"/>
        <v>11</v>
      </c>
      <c r="DH89" s="238">
        <v>10</v>
      </c>
    </row>
    <row r="90" spans="1:112" ht="20" customHeight="1" x14ac:dyDescent="0.35">
      <c r="A90" s="290" t="s">
        <v>1971</v>
      </c>
      <c r="B90" s="270" t="s">
        <v>733</v>
      </c>
      <c r="C90" s="270" t="s">
        <v>1972</v>
      </c>
      <c r="D90" s="297" t="s">
        <v>604</v>
      </c>
      <c r="E90" s="270" t="s">
        <v>1118</v>
      </c>
      <c r="F90" s="270" t="s">
        <v>1804</v>
      </c>
      <c r="G90" s="270" t="s">
        <v>39</v>
      </c>
      <c r="H90" s="298">
        <f>5.5</f>
        <v>5.5</v>
      </c>
      <c r="I90" s="292">
        <v>6.8</v>
      </c>
      <c r="J90" s="292">
        <v>6</v>
      </c>
      <c r="K90" s="286"/>
      <c r="L90" s="286">
        <v>6.5</v>
      </c>
      <c r="M90" s="400"/>
      <c r="N90" s="292">
        <v>6</v>
      </c>
      <c r="O90" s="286">
        <v>6.5</v>
      </c>
      <c r="P90" s="292">
        <v>6.5</v>
      </c>
      <c r="Q90" s="286">
        <v>6.5</v>
      </c>
      <c r="R90" s="286">
        <v>6</v>
      </c>
      <c r="S90" s="286">
        <v>7</v>
      </c>
      <c r="T90" s="286">
        <v>6</v>
      </c>
      <c r="U90" s="286"/>
      <c r="V90" s="294"/>
      <c r="W90" s="286"/>
      <c r="X90" s="286"/>
      <c r="Y90" s="286"/>
      <c r="Z90" s="286"/>
      <c r="AA90" s="286"/>
      <c r="AB90" s="286">
        <v>6.5</v>
      </c>
      <c r="AC90" s="286">
        <v>6</v>
      </c>
      <c r="AD90" s="286"/>
      <c r="AE90" s="286"/>
      <c r="AF90" s="286"/>
      <c r="AG90" s="286"/>
      <c r="AH90" s="286"/>
      <c r="AI90" s="286">
        <v>6</v>
      </c>
      <c r="AJ90" s="286"/>
      <c r="AK90" s="287"/>
      <c r="AL90" s="288">
        <v>6</v>
      </c>
      <c r="AM90" s="287">
        <v>6.5</v>
      </c>
      <c r="AN90" s="287"/>
      <c r="AO90" s="286">
        <v>6</v>
      </c>
      <c r="AP90" s="286">
        <v>6</v>
      </c>
      <c r="AQ90" s="296"/>
      <c r="AR90" s="286">
        <v>6</v>
      </c>
      <c r="AS90" s="286"/>
      <c r="AT90" s="286">
        <v>6</v>
      </c>
      <c r="AU90" s="286">
        <v>6</v>
      </c>
      <c r="AV90" s="286">
        <v>6</v>
      </c>
      <c r="AW90" s="286">
        <v>6</v>
      </c>
      <c r="AX90" s="286">
        <v>6</v>
      </c>
      <c r="AY90" s="286">
        <v>6</v>
      </c>
      <c r="AZ90" s="286">
        <v>6</v>
      </c>
      <c r="BA90" s="286">
        <v>6</v>
      </c>
      <c r="BB90" s="286">
        <f>BA90</f>
        <v>6</v>
      </c>
      <c r="BC90" s="286">
        <v>6</v>
      </c>
      <c r="BD90" s="287"/>
      <c r="BE90" s="287"/>
      <c r="BF90" s="287"/>
      <c r="BG90" s="288">
        <v>7.5</v>
      </c>
      <c r="BH90" s="287"/>
      <c r="BI90" s="287"/>
      <c r="BJ90" s="287"/>
      <c r="BK90" s="287"/>
      <c r="BL90" s="287"/>
      <c r="BM90" s="287"/>
      <c r="BN90" s="287"/>
      <c r="BO90" s="287"/>
      <c r="BP90" s="287"/>
      <c r="BQ90" s="287"/>
      <c r="BR90" s="287"/>
      <c r="BS90" s="287"/>
      <c r="BT90" s="287"/>
      <c r="BU90" s="287"/>
      <c r="BV90" s="287"/>
      <c r="BW90" s="287"/>
      <c r="BX90" s="286">
        <f>J90</f>
        <v>6</v>
      </c>
      <c r="BY90" s="289"/>
      <c r="BZ90" s="289"/>
      <c r="CA90" s="289"/>
      <c r="CB90" s="289"/>
      <c r="CC90" s="289"/>
      <c r="CD90" s="289"/>
      <c r="CE90" s="289"/>
      <c r="CF90" s="289">
        <v>6.5</v>
      </c>
      <c r="CG90" s="287"/>
      <c r="CH90" s="287"/>
      <c r="CI90" s="287"/>
      <c r="CJ90" s="287"/>
      <c r="CK90" s="287"/>
      <c r="CL90" s="287"/>
      <c r="CM90" s="292">
        <v>6</v>
      </c>
      <c r="CN90" s="287"/>
      <c r="CO90" s="292">
        <v>6</v>
      </c>
      <c r="CP90" s="287"/>
      <c r="CQ90" s="287">
        <v>6.8</v>
      </c>
      <c r="CR90" s="287"/>
      <c r="CS90" s="288">
        <f>I90</f>
        <v>6.8</v>
      </c>
      <c r="CT90" s="6"/>
      <c r="CU90" s="6"/>
      <c r="CV90" s="6"/>
      <c r="CW90" s="6"/>
      <c r="CX90" s="6"/>
      <c r="CY90" s="6"/>
      <c r="CZ90" s="6"/>
      <c r="DA90" s="343">
        <f t="shared" si="5"/>
        <v>5.5</v>
      </c>
      <c r="DH90" s="238">
        <v>10.5</v>
      </c>
    </row>
    <row r="91" spans="1:112" ht="20" customHeight="1" x14ac:dyDescent="0.35">
      <c r="A91" s="290" t="s">
        <v>1191</v>
      </c>
      <c r="B91" s="270" t="s">
        <v>733</v>
      </c>
      <c r="C91" s="270" t="s">
        <v>1562</v>
      </c>
      <c r="D91" s="297" t="s">
        <v>604</v>
      </c>
      <c r="E91" s="270" t="s">
        <v>1118</v>
      </c>
      <c r="F91" s="270" t="s">
        <v>1804</v>
      </c>
      <c r="G91" s="270" t="s">
        <v>39</v>
      </c>
      <c r="H91" s="298">
        <f>5.5</f>
        <v>5.5</v>
      </c>
      <c r="I91" s="292"/>
      <c r="J91" s="292"/>
      <c r="K91" s="286"/>
      <c r="L91" s="286"/>
      <c r="M91" s="286"/>
      <c r="N91" s="292"/>
      <c r="O91" s="286"/>
      <c r="P91" s="292"/>
      <c r="Q91" s="286"/>
      <c r="R91" s="286"/>
      <c r="S91" s="286"/>
      <c r="T91" s="286"/>
      <c r="U91" s="286"/>
      <c r="V91" s="294"/>
      <c r="W91" s="286"/>
      <c r="X91" s="286"/>
      <c r="Y91" s="286"/>
      <c r="Z91" s="286"/>
      <c r="AA91" s="286"/>
      <c r="AB91" s="286"/>
      <c r="AC91" s="286"/>
      <c r="AD91" s="286"/>
      <c r="AE91" s="286"/>
      <c r="AF91" s="286"/>
      <c r="AG91" s="286"/>
      <c r="AH91" s="286"/>
      <c r="AI91" s="286"/>
      <c r="AJ91" s="286"/>
      <c r="AK91" s="287"/>
      <c r="AL91" s="288"/>
      <c r="AM91" s="287"/>
      <c r="AN91" s="287"/>
      <c r="AO91" s="286"/>
      <c r="AP91" s="286"/>
      <c r="AQ91" s="296"/>
      <c r="AR91" s="286"/>
      <c r="AS91" s="286"/>
      <c r="AT91" s="286"/>
      <c r="AU91" s="286"/>
      <c r="AV91" s="286"/>
      <c r="AW91" s="286"/>
      <c r="AX91" s="286"/>
      <c r="AY91" s="286"/>
      <c r="AZ91" s="286"/>
      <c r="BA91" s="286"/>
      <c r="BB91" s="286"/>
      <c r="BC91" s="286"/>
      <c r="BD91" s="287"/>
      <c r="BE91" s="287"/>
      <c r="BF91" s="287"/>
      <c r="BG91" s="288"/>
      <c r="BH91" s="287"/>
      <c r="BI91" s="287"/>
      <c r="BJ91" s="287"/>
      <c r="BK91" s="287"/>
      <c r="BL91" s="287"/>
      <c r="BM91" s="287"/>
      <c r="BN91" s="287"/>
      <c r="BO91" s="287"/>
      <c r="BP91" s="287"/>
      <c r="BQ91" s="287"/>
      <c r="BR91" s="287"/>
      <c r="BS91" s="287"/>
      <c r="BT91" s="287"/>
      <c r="BU91" s="287"/>
      <c r="BV91" s="287"/>
      <c r="BW91" s="287"/>
      <c r="BX91" s="286"/>
      <c r="BY91" s="289"/>
      <c r="BZ91" s="289"/>
      <c r="CA91" s="289"/>
      <c r="CB91" s="289"/>
      <c r="CC91" s="289"/>
      <c r="CD91" s="289"/>
      <c r="CE91" s="289"/>
      <c r="CF91" s="289"/>
      <c r="CG91" s="287"/>
      <c r="CH91" s="287"/>
      <c r="CI91" s="287"/>
      <c r="CJ91" s="287"/>
      <c r="CK91" s="287"/>
      <c r="CL91" s="287"/>
      <c r="CM91" s="287"/>
      <c r="CN91" s="287"/>
      <c r="CO91" s="287"/>
      <c r="CP91" s="287"/>
      <c r="CQ91" s="287"/>
      <c r="CR91" s="287"/>
      <c r="CS91" s="288"/>
      <c r="CT91" s="6"/>
      <c r="CU91" s="6"/>
      <c r="CV91" s="6"/>
      <c r="CW91" s="6"/>
      <c r="CX91" s="6"/>
      <c r="CY91" s="6"/>
      <c r="CZ91" s="6"/>
      <c r="DA91" s="343"/>
      <c r="DH91" s="238"/>
    </row>
    <row r="92" spans="1:112" ht="20" customHeight="1" x14ac:dyDescent="0.35">
      <c r="A92" s="290" t="s">
        <v>1190</v>
      </c>
      <c r="B92" s="270" t="s">
        <v>734</v>
      </c>
      <c r="C92" s="270" t="s">
        <v>210</v>
      </c>
      <c r="D92" s="297" t="s">
        <v>604</v>
      </c>
      <c r="E92" s="270" t="s">
        <v>1118</v>
      </c>
      <c r="F92" s="270" t="s">
        <v>1804</v>
      </c>
      <c r="G92" s="270" t="s">
        <v>39</v>
      </c>
      <c r="H92" s="298">
        <v>4</v>
      </c>
      <c r="I92" s="292">
        <v>6</v>
      </c>
      <c r="J92" s="286">
        <v>0</v>
      </c>
      <c r="K92" s="286"/>
      <c r="L92" s="286"/>
      <c r="M92" s="286"/>
      <c r="N92" s="286"/>
      <c r="O92" s="286">
        <v>6</v>
      </c>
      <c r="P92" s="292">
        <v>6</v>
      </c>
      <c r="Q92" s="286">
        <v>6</v>
      </c>
      <c r="R92" s="286">
        <v>6</v>
      </c>
      <c r="S92" s="286"/>
      <c r="T92" s="286">
        <v>0</v>
      </c>
      <c r="U92" s="286"/>
      <c r="V92" s="294"/>
      <c r="W92" s="286"/>
      <c r="X92" s="286"/>
      <c r="Y92" s="286"/>
      <c r="Z92" s="286"/>
      <c r="AA92" s="286"/>
      <c r="AB92" s="286"/>
      <c r="AC92" s="286">
        <v>6</v>
      </c>
      <c r="AD92" s="286"/>
      <c r="AE92" s="286"/>
      <c r="AF92" s="286"/>
      <c r="AG92" s="286"/>
      <c r="AH92" s="286"/>
      <c r="AI92" s="286"/>
      <c r="AJ92" s="286"/>
      <c r="AK92" s="287"/>
      <c r="AL92" s="288"/>
      <c r="AM92" s="287"/>
      <c r="AN92" s="287"/>
      <c r="AO92" s="287"/>
      <c r="AP92" s="286">
        <v>0</v>
      </c>
      <c r="AQ92" s="296"/>
      <c r="AR92" s="286">
        <v>0</v>
      </c>
      <c r="AS92" s="286"/>
      <c r="AT92" s="286">
        <v>0</v>
      </c>
      <c r="AU92" s="286">
        <v>0</v>
      </c>
      <c r="AV92" s="286">
        <v>0</v>
      </c>
      <c r="AW92" s="286">
        <v>0</v>
      </c>
      <c r="AX92" s="286">
        <v>0</v>
      </c>
      <c r="AY92" s="286">
        <v>0</v>
      </c>
      <c r="AZ92" s="286">
        <v>0</v>
      </c>
      <c r="BA92" s="286">
        <v>0</v>
      </c>
      <c r="BB92" s="286"/>
      <c r="BC92" s="286">
        <v>0</v>
      </c>
      <c r="BD92" s="287"/>
      <c r="BE92" s="287"/>
      <c r="BF92" s="287"/>
      <c r="BG92" s="288">
        <v>8</v>
      </c>
      <c r="BH92" s="287"/>
      <c r="BI92" s="287"/>
      <c r="BJ92" s="287"/>
      <c r="BK92" s="287"/>
      <c r="BL92" s="287"/>
      <c r="BM92" s="287"/>
      <c r="BN92" s="287"/>
      <c r="BO92" s="287"/>
      <c r="BP92" s="287"/>
      <c r="BQ92" s="287"/>
      <c r="BR92" s="287"/>
      <c r="BS92" s="287"/>
      <c r="BT92" s="287"/>
      <c r="BU92" s="287"/>
      <c r="BV92" s="287"/>
      <c r="BW92" s="287"/>
      <c r="BX92" s="286"/>
      <c r="BY92" s="289"/>
      <c r="BZ92" s="289"/>
      <c r="CA92" s="289"/>
      <c r="CB92" s="289"/>
      <c r="CC92" s="289"/>
      <c r="CD92" s="289"/>
      <c r="CE92" s="289"/>
      <c r="CF92" s="289">
        <v>6</v>
      </c>
      <c r="CG92" s="287"/>
      <c r="CH92" s="287"/>
      <c r="CI92" s="287"/>
      <c r="CJ92" s="287"/>
      <c r="CK92" s="287"/>
      <c r="CL92" s="287"/>
      <c r="CM92" s="287"/>
      <c r="CN92" s="287"/>
      <c r="CO92" s="287"/>
      <c r="CP92" s="287"/>
      <c r="CQ92" s="287">
        <v>6</v>
      </c>
      <c r="CR92" s="287"/>
      <c r="CS92" s="288">
        <f>I92</f>
        <v>6</v>
      </c>
      <c r="CT92" s="6"/>
      <c r="CU92" s="6"/>
      <c r="CV92" s="6"/>
      <c r="CW92" s="6"/>
      <c r="CX92" s="6"/>
      <c r="CY92" s="6"/>
      <c r="CZ92" s="6"/>
      <c r="DA92" s="343">
        <f t="shared" si="5"/>
        <v>4</v>
      </c>
      <c r="DH92" s="238">
        <v>10.5</v>
      </c>
    </row>
    <row r="93" spans="1:112" ht="20" customHeight="1" x14ac:dyDescent="0.35">
      <c r="A93" s="290"/>
      <c r="B93" s="270" t="s">
        <v>735</v>
      </c>
      <c r="C93" s="270" t="s">
        <v>1581</v>
      </c>
      <c r="D93" s="270" t="s">
        <v>513</v>
      </c>
      <c r="E93" s="270" t="s">
        <v>34</v>
      </c>
      <c r="F93" s="270" t="s">
        <v>1804</v>
      </c>
      <c r="G93" s="270" t="s">
        <v>39</v>
      </c>
      <c r="H93" s="298">
        <v>6</v>
      </c>
      <c r="I93" s="286">
        <v>0</v>
      </c>
      <c r="J93" s="286"/>
      <c r="K93" s="286"/>
      <c r="L93" s="286"/>
      <c r="M93" s="286"/>
      <c r="N93" s="286"/>
      <c r="O93" s="286"/>
      <c r="P93" s="292">
        <v>7</v>
      </c>
      <c r="Q93" s="286"/>
      <c r="R93" s="286"/>
      <c r="S93" s="286"/>
      <c r="T93" s="286"/>
      <c r="U93" s="286"/>
      <c r="V93" s="294"/>
      <c r="W93" s="286"/>
      <c r="X93" s="286"/>
      <c r="Y93" s="286"/>
      <c r="Z93" s="286"/>
      <c r="AA93" s="286"/>
      <c r="AB93" s="286">
        <v>7.5</v>
      </c>
      <c r="AC93" s="286">
        <v>7</v>
      </c>
      <c r="AD93" s="286"/>
      <c r="AE93" s="286"/>
      <c r="AF93" s="286"/>
      <c r="AG93" s="286"/>
      <c r="AH93" s="286"/>
      <c r="AI93" s="286"/>
      <c r="AJ93" s="286"/>
      <c r="AK93" s="287"/>
      <c r="AL93" s="288"/>
      <c r="AM93" s="287"/>
      <c r="AN93" s="287"/>
      <c r="AO93" s="287"/>
      <c r="AP93" s="286"/>
      <c r="AQ93" s="296">
        <v>8.5</v>
      </c>
      <c r="AR93" s="286"/>
      <c r="AS93" s="286"/>
      <c r="AT93" s="286"/>
      <c r="AU93" s="286"/>
      <c r="AV93" s="286"/>
      <c r="AW93" s="286"/>
      <c r="AX93" s="286"/>
      <c r="AY93" s="286"/>
      <c r="AZ93" s="286"/>
      <c r="BA93" s="286"/>
      <c r="BB93" s="286"/>
      <c r="BC93" s="286"/>
      <c r="BD93" s="287"/>
      <c r="BE93" s="287"/>
      <c r="BF93" s="287"/>
      <c r="BG93" s="288">
        <v>8</v>
      </c>
      <c r="BH93" s="287"/>
      <c r="BI93" s="287"/>
      <c r="BJ93" s="287">
        <v>8</v>
      </c>
      <c r="BK93" s="299">
        <v>10</v>
      </c>
      <c r="BL93" s="287"/>
      <c r="BM93" s="287"/>
      <c r="BN93" s="287"/>
      <c r="BO93" s="287"/>
      <c r="BP93" s="287"/>
      <c r="BQ93" s="287"/>
      <c r="BR93" s="287"/>
      <c r="BS93" s="287">
        <v>8</v>
      </c>
      <c r="BT93" s="287"/>
      <c r="BU93" s="287">
        <v>8</v>
      </c>
      <c r="BV93" s="287"/>
      <c r="BW93" s="287"/>
      <c r="BX93" s="286"/>
      <c r="BY93" s="289"/>
      <c r="BZ93" s="289"/>
      <c r="CA93" s="289"/>
      <c r="CB93" s="289"/>
      <c r="CC93" s="289"/>
      <c r="CD93" s="289"/>
      <c r="CE93" s="289"/>
      <c r="CF93" s="289"/>
      <c r="CG93" s="287"/>
      <c r="CH93" s="287"/>
      <c r="CI93" s="287"/>
      <c r="CJ93" s="287"/>
      <c r="CK93" s="287"/>
      <c r="CL93" s="287">
        <v>8</v>
      </c>
      <c r="CM93" s="287"/>
      <c r="CN93" s="287"/>
      <c r="CO93" s="287"/>
      <c r="CP93" s="287"/>
      <c r="CQ93" s="287"/>
      <c r="CR93" s="287"/>
      <c r="CS93" s="6"/>
      <c r="CT93" s="6"/>
      <c r="CU93" s="6"/>
      <c r="CV93" s="6"/>
      <c r="CW93" s="6"/>
      <c r="CX93" s="6"/>
      <c r="CY93" s="6"/>
      <c r="CZ93" s="6"/>
      <c r="DA93" s="343">
        <f t="shared" si="5"/>
        <v>6</v>
      </c>
      <c r="DH93" s="238">
        <v>24</v>
      </c>
    </row>
    <row r="94" spans="1:112" ht="20" customHeight="1" x14ac:dyDescent="0.35">
      <c r="A94" s="290" t="s">
        <v>1189</v>
      </c>
      <c r="B94" s="270" t="s">
        <v>736</v>
      </c>
      <c r="C94" s="270" t="s">
        <v>1582</v>
      </c>
      <c r="D94" s="270" t="s">
        <v>513</v>
      </c>
      <c r="E94" s="270" t="s">
        <v>1195</v>
      </c>
      <c r="F94" s="270" t="s">
        <v>1804</v>
      </c>
      <c r="G94" s="270" t="s">
        <v>39</v>
      </c>
      <c r="H94" s="298">
        <v>5</v>
      </c>
      <c r="I94" s="286"/>
      <c r="J94" s="286"/>
      <c r="K94" s="286"/>
      <c r="L94" s="286"/>
      <c r="M94" s="286"/>
      <c r="N94" s="286"/>
      <c r="O94" s="286"/>
      <c r="P94" s="286"/>
      <c r="Q94" s="286"/>
      <c r="R94" s="286"/>
      <c r="S94" s="286"/>
      <c r="T94" s="286"/>
      <c r="U94" s="286"/>
      <c r="V94" s="294"/>
      <c r="W94" s="286"/>
      <c r="X94" s="286"/>
      <c r="Y94" s="286"/>
      <c r="Z94" s="286"/>
      <c r="AA94" s="286"/>
      <c r="AB94" s="286"/>
      <c r="AC94" s="286"/>
      <c r="AD94" s="286"/>
      <c r="AE94" s="286"/>
      <c r="AF94" s="286"/>
      <c r="AG94" s="286"/>
      <c r="AH94" s="286"/>
      <c r="AI94" s="286"/>
      <c r="AJ94" s="286"/>
      <c r="AK94" s="287"/>
      <c r="AL94" s="288"/>
      <c r="AM94" s="287"/>
      <c r="AN94" s="287"/>
      <c r="AO94" s="287"/>
      <c r="AP94" s="286"/>
      <c r="AQ94" s="296"/>
      <c r="AR94" s="286"/>
      <c r="AS94" s="286"/>
      <c r="AT94" s="286"/>
      <c r="AU94" s="286"/>
      <c r="AV94" s="286"/>
      <c r="AW94" s="286"/>
      <c r="AX94" s="286"/>
      <c r="AY94" s="286"/>
      <c r="AZ94" s="286"/>
      <c r="BA94" s="286"/>
      <c r="BB94" s="286"/>
      <c r="BC94" s="286"/>
      <c r="BD94" s="287"/>
      <c r="BE94" s="287"/>
      <c r="BF94" s="287"/>
      <c r="BG94" s="288">
        <v>8</v>
      </c>
      <c r="BH94" s="287"/>
      <c r="BI94" s="287"/>
      <c r="BJ94" s="287"/>
      <c r="BK94" s="287"/>
      <c r="BL94" s="287"/>
      <c r="BM94" s="287"/>
      <c r="BN94" s="287"/>
      <c r="BO94" s="287"/>
      <c r="BP94" s="287"/>
      <c r="BQ94" s="287"/>
      <c r="BR94" s="287"/>
      <c r="BS94" s="287"/>
      <c r="BT94" s="287">
        <v>8</v>
      </c>
      <c r="BU94" s="287">
        <v>8</v>
      </c>
      <c r="BV94" s="287"/>
      <c r="BW94" s="287"/>
      <c r="BX94" s="286"/>
      <c r="BY94" s="289"/>
      <c r="BZ94" s="289"/>
      <c r="CA94" s="289"/>
      <c r="CB94" s="289"/>
      <c r="CC94" s="289"/>
      <c r="CD94" s="289"/>
      <c r="CE94" s="289"/>
      <c r="CF94" s="289">
        <v>7</v>
      </c>
      <c r="CG94" s="287"/>
      <c r="CH94" s="287"/>
      <c r="CI94" s="287"/>
      <c r="CJ94" s="287"/>
      <c r="CK94" s="287"/>
      <c r="CL94" s="287"/>
      <c r="CM94" s="287"/>
      <c r="CN94" s="287"/>
      <c r="CO94" s="287"/>
      <c r="CP94" s="287"/>
      <c r="CQ94" s="287"/>
      <c r="CR94" s="287"/>
      <c r="CS94" s="6"/>
      <c r="CT94" s="6"/>
      <c r="CU94" s="6"/>
      <c r="CV94" s="6"/>
      <c r="CW94" s="6"/>
      <c r="CX94" s="6"/>
      <c r="CY94" s="6"/>
      <c r="CZ94" s="6"/>
      <c r="DA94" s="343">
        <f t="shared" si="5"/>
        <v>5</v>
      </c>
      <c r="DH94" s="238">
        <v>23</v>
      </c>
    </row>
    <row r="95" spans="1:112" ht="20" customHeight="1" x14ac:dyDescent="0.35">
      <c r="A95" s="290" t="s">
        <v>1970</v>
      </c>
      <c r="B95" s="270" t="s">
        <v>737</v>
      </c>
      <c r="C95" s="270" t="s">
        <v>1583</v>
      </c>
      <c r="D95" s="297" t="s">
        <v>623</v>
      </c>
      <c r="E95" s="270" t="s">
        <v>34</v>
      </c>
      <c r="F95" s="270" t="s">
        <v>1803</v>
      </c>
      <c r="G95" s="270" t="s">
        <v>207</v>
      </c>
      <c r="H95" s="298">
        <f>13.95*1.08</f>
        <v>15.066000000000001</v>
      </c>
      <c r="I95" s="292">
        <v>19</v>
      </c>
      <c r="J95" s="292">
        <v>17.8</v>
      </c>
      <c r="K95" s="286"/>
      <c r="L95" s="286"/>
      <c r="M95" s="286"/>
      <c r="N95" s="286"/>
      <c r="O95" s="286"/>
      <c r="P95" s="286"/>
      <c r="Q95" s="286"/>
      <c r="R95" s="286"/>
      <c r="S95" s="286"/>
      <c r="T95" s="300">
        <v>23</v>
      </c>
      <c r="U95" s="286"/>
      <c r="V95" s="294"/>
      <c r="W95" s="286"/>
      <c r="X95" s="286"/>
      <c r="Y95" s="286"/>
      <c r="Z95" s="286">
        <v>21</v>
      </c>
      <c r="AA95" s="286"/>
      <c r="AB95" s="286"/>
      <c r="AC95" s="286"/>
      <c r="AD95" s="286"/>
      <c r="AE95" s="286"/>
      <c r="AF95" s="286"/>
      <c r="AG95" s="286"/>
      <c r="AH95" s="286"/>
      <c r="AI95" s="286"/>
      <c r="AJ95" s="286"/>
      <c r="AK95" s="287"/>
      <c r="AL95" s="288"/>
      <c r="AM95" s="287"/>
      <c r="AN95" s="287"/>
      <c r="AO95" s="287"/>
      <c r="AP95" s="286"/>
      <c r="AQ95" s="296"/>
      <c r="AR95" s="286"/>
      <c r="AS95" s="286"/>
      <c r="AT95" s="286"/>
      <c r="AU95" s="286"/>
      <c r="AV95" s="286"/>
      <c r="AW95" s="286"/>
      <c r="AX95" s="286"/>
      <c r="AY95" s="286"/>
      <c r="AZ95" s="286"/>
      <c r="BA95" s="286"/>
      <c r="BB95" s="286"/>
      <c r="BC95" s="286"/>
      <c r="BD95" s="287"/>
      <c r="BE95" s="287"/>
      <c r="BF95" s="287"/>
      <c r="BG95" s="288">
        <v>20</v>
      </c>
      <c r="BH95" s="287"/>
      <c r="BI95" s="287"/>
      <c r="BJ95" s="287"/>
      <c r="BK95" s="287"/>
      <c r="BL95" s="287"/>
      <c r="BM95" s="287"/>
      <c r="BN95" s="287"/>
      <c r="BO95" s="287"/>
      <c r="BP95" s="287"/>
      <c r="BQ95" s="287"/>
      <c r="BR95" s="287"/>
      <c r="BS95" s="287"/>
      <c r="BT95" s="287"/>
      <c r="BU95" s="287">
        <v>21</v>
      </c>
      <c r="BV95" s="287"/>
      <c r="BW95" s="287"/>
      <c r="BX95" s="286"/>
      <c r="BY95" s="289"/>
      <c r="BZ95" s="289"/>
      <c r="CA95" s="289"/>
      <c r="CB95" s="289"/>
      <c r="CC95" s="289"/>
      <c r="CD95" s="289"/>
      <c r="CE95" s="289"/>
      <c r="CF95" s="289"/>
      <c r="CG95" s="305"/>
      <c r="CH95" s="287"/>
      <c r="CI95" s="287"/>
      <c r="CJ95" s="287"/>
      <c r="CK95" s="287"/>
      <c r="CL95" s="287"/>
      <c r="CM95" s="287"/>
      <c r="CN95" s="287"/>
      <c r="CO95" s="287"/>
      <c r="CP95" s="287"/>
      <c r="CQ95" s="287">
        <v>19</v>
      </c>
      <c r="CR95" s="287"/>
      <c r="CS95" s="6"/>
      <c r="CT95" s="6"/>
      <c r="CU95" s="6"/>
      <c r="CV95" s="6"/>
      <c r="CW95" s="6"/>
      <c r="CX95" s="6"/>
      <c r="CY95" s="6"/>
      <c r="CZ95" s="6"/>
      <c r="DA95" s="343">
        <f t="shared" si="5"/>
        <v>15.066000000000001</v>
      </c>
      <c r="DH95" s="238">
        <v>25</v>
      </c>
    </row>
    <row r="96" spans="1:112" ht="20" customHeight="1" x14ac:dyDescent="0.35">
      <c r="A96" s="290"/>
      <c r="B96" s="270" t="s">
        <v>739</v>
      </c>
      <c r="C96" s="270" t="s">
        <v>1584</v>
      </c>
      <c r="D96" s="297" t="s">
        <v>623</v>
      </c>
      <c r="E96" s="270" t="s">
        <v>34</v>
      </c>
      <c r="F96" s="270" t="s">
        <v>1803</v>
      </c>
      <c r="G96" s="270" t="s">
        <v>207</v>
      </c>
      <c r="H96" s="298">
        <f>13.95*1.08</f>
        <v>15.066000000000001</v>
      </c>
      <c r="I96" s="292">
        <v>19</v>
      </c>
      <c r="J96" s="292">
        <v>0</v>
      </c>
      <c r="K96" s="286"/>
      <c r="L96" s="286"/>
      <c r="M96" s="286"/>
      <c r="N96" s="286"/>
      <c r="O96" s="286"/>
      <c r="P96" s="286"/>
      <c r="Q96" s="286"/>
      <c r="R96" s="286"/>
      <c r="S96" s="286"/>
      <c r="T96" s="300">
        <v>23</v>
      </c>
      <c r="U96" s="286"/>
      <c r="V96" s="294"/>
      <c r="W96" s="286"/>
      <c r="X96" s="286"/>
      <c r="Y96" s="286"/>
      <c r="Z96" s="286"/>
      <c r="AA96" s="286"/>
      <c r="AB96" s="286"/>
      <c r="AC96" s="286"/>
      <c r="AD96" s="286"/>
      <c r="AE96" s="286"/>
      <c r="AF96" s="286"/>
      <c r="AG96" s="286"/>
      <c r="AH96" s="286"/>
      <c r="AI96" s="286"/>
      <c r="AJ96" s="286"/>
      <c r="AK96" s="287"/>
      <c r="AL96" s="288"/>
      <c r="AM96" s="287"/>
      <c r="AN96" s="287"/>
      <c r="AO96" s="287"/>
      <c r="AP96" s="286"/>
      <c r="AQ96" s="296"/>
      <c r="AR96" s="286"/>
      <c r="AS96" s="286"/>
      <c r="AT96" s="286"/>
      <c r="AU96" s="286"/>
      <c r="AV96" s="286"/>
      <c r="AW96" s="286"/>
      <c r="AX96" s="286"/>
      <c r="AY96" s="286"/>
      <c r="AZ96" s="286"/>
      <c r="BA96" s="286"/>
      <c r="BB96" s="286"/>
      <c r="BC96" s="286"/>
      <c r="BD96" s="287"/>
      <c r="BE96" s="287"/>
      <c r="BF96" s="287"/>
      <c r="BG96" s="288">
        <v>20</v>
      </c>
      <c r="BH96" s="287"/>
      <c r="BI96" s="287"/>
      <c r="BJ96" s="287"/>
      <c r="BK96" s="287"/>
      <c r="BL96" s="287"/>
      <c r="BM96" s="287"/>
      <c r="BN96" s="287"/>
      <c r="BO96" s="287"/>
      <c r="BP96" s="287"/>
      <c r="BQ96" s="287"/>
      <c r="BR96" s="287"/>
      <c r="BS96" s="287"/>
      <c r="BT96" s="287"/>
      <c r="BU96" s="287">
        <v>21</v>
      </c>
      <c r="BV96" s="287"/>
      <c r="BW96" s="287"/>
      <c r="BX96" s="286"/>
      <c r="BY96" s="289"/>
      <c r="BZ96" s="289"/>
      <c r="CA96" s="289"/>
      <c r="CB96" s="289"/>
      <c r="CC96" s="289"/>
      <c r="CD96" s="289"/>
      <c r="CE96" s="289"/>
      <c r="CF96" s="289"/>
      <c r="CG96" s="305"/>
      <c r="CH96" s="287"/>
      <c r="CI96" s="287"/>
      <c r="CJ96" s="287"/>
      <c r="CK96" s="287"/>
      <c r="CL96" s="287"/>
      <c r="CM96" s="287"/>
      <c r="CN96" s="287"/>
      <c r="CO96" s="287"/>
      <c r="CP96" s="287"/>
      <c r="CQ96" s="287"/>
      <c r="CR96" s="287"/>
      <c r="CS96" s="6"/>
      <c r="CT96" s="6"/>
      <c r="CU96" s="6"/>
      <c r="CV96" s="6"/>
      <c r="CW96" s="6"/>
      <c r="CX96" s="6"/>
      <c r="CY96" s="6"/>
      <c r="CZ96" s="6"/>
      <c r="DA96" s="343">
        <f t="shared" si="5"/>
        <v>15.066000000000001</v>
      </c>
      <c r="DH96" s="238">
        <v>35</v>
      </c>
    </row>
    <row r="97" spans="1:112" ht="20" customHeight="1" x14ac:dyDescent="0.35">
      <c r="A97" s="290"/>
      <c r="B97" s="270" t="s">
        <v>1511</v>
      </c>
      <c r="C97" s="270" t="s">
        <v>1585</v>
      </c>
      <c r="D97" s="297" t="s">
        <v>623</v>
      </c>
      <c r="E97" s="270" t="s">
        <v>34</v>
      </c>
      <c r="F97" s="270" t="s">
        <v>1803</v>
      </c>
      <c r="G97" s="270" t="s">
        <v>207</v>
      </c>
      <c r="H97" s="298">
        <f>13.95*1.08</f>
        <v>15.066000000000001</v>
      </c>
      <c r="I97" s="292">
        <v>20</v>
      </c>
      <c r="J97" s="292">
        <v>0</v>
      </c>
      <c r="K97" s="286"/>
      <c r="L97" s="286"/>
      <c r="M97" s="286"/>
      <c r="N97" s="286"/>
      <c r="O97" s="286"/>
      <c r="P97" s="286"/>
      <c r="Q97" s="286"/>
      <c r="R97" s="286"/>
      <c r="S97" s="286"/>
      <c r="T97" s="300">
        <v>23</v>
      </c>
      <c r="U97" s="286"/>
      <c r="V97" s="294"/>
      <c r="W97" s="286"/>
      <c r="X97" s="286"/>
      <c r="Y97" s="286"/>
      <c r="Z97" s="286"/>
      <c r="AA97" s="286"/>
      <c r="AB97" s="286"/>
      <c r="AC97" s="286"/>
      <c r="AD97" s="286"/>
      <c r="AE97" s="286"/>
      <c r="AF97" s="286"/>
      <c r="AG97" s="286"/>
      <c r="AH97" s="286"/>
      <c r="AI97" s="286"/>
      <c r="AJ97" s="286"/>
      <c r="AK97" s="287"/>
      <c r="AL97" s="288"/>
      <c r="AM97" s="287"/>
      <c r="AN97" s="287"/>
      <c r="AO97" s="287"/>
      <c r="AP97" s="286"/>
      <c r="AQ97" s="296"/>
      <c r="AR97" s="286"/>
      <c r="AS97" s="286"/>
      <c r="AT97" s="286"/>
      <c r="AU97" s="286"/>
      <c r="AV97" s="286"/>
      <c r="AW97" s="286"/>
      <c r="AX97" s="286"/>
      <c r="AY97" s="286"/>
      <c r="AZ97" s="286"/>
      <c r="BA97" s="286"/>
      <c r="BB97" s="286"/>
      <c r="BC97" s="286"/>
      <c r="BD97" s="287"/>
      <c r="BE97" s="287"/>
      <c r="BF97" s="287"/>
      <c r="BG97" s="287"/>
      <c r="BH97" s="287"/>
      <c r="BI97" s="287"/>
      <c r="BJ97" s="287"/>
      <c r="BK97" s="287"/>
      <c r="BL97" s="287"/>
      <c r="BM97" s="287"/>
      <c r="BN97" s="287"/>
      <c r="BO97" s="287"/>
      <c r="BP97" s="287"/>
      <c r="BQ97" s="287"/>
      <c r="BR97" s="287"/>
      <c r="BS97" s="287"/>
      <c r="BT97" s="287"/>
      <c r="BU97" s="287"/>
      <c r="BV97" s="287"/>
      <c r="BW97" s="287"/>
      <c r="BX97" s="286"/>
      <c r="BY97" s="289"/>
      <c r="BZ97" s="289"/>
      <c r="CA97" s="289"/>
      <c r="CB97" s="289"/>
      <c r="CC97" s="289"/>
      <c r="CD97" s="289"/>
      <c r="CE97" s="289"/>
      <c r="CF97" s="289"/>
      <c r="CG97" s="305"/>
      <c r="CH97" s="287"/>
      <c r="CI97" s="287"/>
      <c r="CJ97" s="287"/>
      <c r="CK97" s="287"/>
      <c r="CL97" s="287"/>
      <c r="CM97" s="287"/>
      <c r="CN97" s="287"/>
      <c r="CO97" s="287"/>
      <c r="CP97" s="287"/>
      <c r="CQ97" s="287"/>
      <c r="CR97" s="287"/>
      <c r="CS97" s="6"/>
      <c r="CT97" s="6"/>
      <c r="CU97" s="6"/>
      <c r="CV97" s="6"/>
      <c r="CW97" s="6"/>
      <c r="CX97" s="6"/>
      <c r="CY97" s="6"/>
      <c r="CZ97" s="6"/>
      <c r="DA97" s="343">
        <f t="shared" si="5"/>
        <v>15.066000000000001</v>
      </c>
      <c r="DH97" s="238">
        <v>23</v>
      </c>
    </row>
    <row r="98" spans="1:112" ht="20" customHeight="1" x14ac:dyDescent="0.35">
      <c r="A98" s="290"/>
      <c r="B98" s="270" t="s">
        <v>1512</v>
      </c>
      <c r="C98" s="270" t="s">
        <v>1586</v>
      </c>
      <c r="D98" s="297" t="s">
        <v>623</v>
      </c>
      <c r="E98" s="270" t="s">
        <v>34</v>
      </c>
      <c r="F98" s="270" t="s">
        <v>1803</v>
      </c>
      <c r="G98" s="270" t="s">
        <v>207</v>
      </c>
      <c r="H98" s="298">
        <f>13.95*1.08</f>
        <v>15.066000000000001</v>
      </c>
      <c r="I98" s="292">
        <v>20</v>
      </c>
      <c r="J98" s="292">
        <v>0</v>
      </c>
      <c r="K98" s="286"/>
      <c r="L98" s="286"/>
      <c r="M98" s="286"/>
      <c r="N98" s="286"/>
      <c r="O98" s="286"/>
      <c r="P98" s="286"/>
      <c r="Q98" s="286"/>
      <c r="R98" s="286"/>
      <c r="S98" s="286"/>
      <c r="T98" s="300">
        <v>23</v>
      </c>
      <c r="U98" s="286"/>
      <c r="V98" s="294"/>
      <c r="W98" s="286"/>
      <c r="X98" s="286"/>
      <c r="Y98" s="286"/>
      <c r="Z98" s="286"/>
      <c r="AA98" s="286"/>
      <c r="AB98" s="286"/>
      <c r="AC98" s="286"/>
      <c r="AD98" s="286"/>
      <c r="AE98" s="286"/>
      <c r="AF98" s="286"/>
      <c r="AG98" s="286"/>
      <c r="AH98" s="286"/>
      <c r="AI98" s="286"/>
      <c r="AJ98" s="286"/>
      <c r="AK98" s="287"/>
      <c r="AL98" s="288"/>
      <c r="AM98" s="287"/>
      <c r="AN98" s="287"/>
      <c r="AO98" s="287"/>
      <c r="AP98" s="286"/>
      <c r="AQ98" s="296"/>
      <c r="AR98" s="286"/>
      <c r="AS98" s="286"/>
      <c r="AT98" s="286"/>
      <c r="AU98" s="286"/>
      <c r="AV98" s="286"/>
      <c r="AW98" s="286"/>
      <c r="AX98" s="286"/>
      <c r="AY98" s="286"/>
      <c r="AZ98" s="286"/>
      <c r="BA98" s="286"/>
      <c r="BB98" s="286"/>
      <c r="BC98" s="286"/>
      <c r="BD98" s="287"/>
      <c r="BE98" s="287"/>
      <c r="BF98" s="287"/>
      <c r="BG98" s="288">
        <v>20</v>
      </c>
      <c r="BH98" s="287"/>
      <c r="BI98" s="287"/>
      <c r="BJ98" s="287"/>
      <c r="BK98" s="287"/>
      <c r="BL98" s="287"/>
      <c r="BM98" s="287"/>
      <c r="BN98" s="287"/>
      <c r="BO98" s="287"/>
      <c r="BP98" s="287"/>
      <c r="BQ98" s="287"/>
      <c r="BR98" s="287"/>
      <c r="BS98" s="287"/>
      <c r="BT98" s="287"/>
      <c r="BU98" s="287">
        <v>21</v>
      </c>
      <c r="BV98" s="287"/>
      <c r="BW98" s="287"/>
      <c r="BX98" s="286"/>
      <c r="BY98" s="289"/>
      <c r="BZ98" s="289"/>
      <c r="CA98" s="289"/>
      <c r="CB98" s="289"/>
      <c r="CC98" s="289"/>
      <c r="CD98" s="289"/>
      <c r="CE98" s="289"/>
      <c r="CF98" s="289"/>
      <c r="CG98" s="305"/>
      <c r="CH98" s="287"/>
      <c r="CI98" s="287"/>
      <c r="CJ98" s="287"/>
      <c r="CK98" s="287"/>
      <c r="CL98" s="287"/>
      <c r="CM98" s="287"/>
      <c r="CN98" s="287"/>
      <c r="CO98" s="287"/>
      <c r="CP98" s="287"/>
      <c r="CQ98" s="287">
        <v>20</v>
      </c>
      <c r="CR98" s="287"/>
      <c r="CS98" s="6"/>
      <c r="CT98" s="6"/>
      <c r="CU98" s="6"/>
      <c r="CV98" s="6"/>
      <c r="CW98" s="6"/>
      <c r="CX98" s="6"/>
      <c r="CY98" s="6"/>
      <c r="CZ98" s="6"/>
      <c r="DA98" s="343">
        <f t="shared" si="5"/>
        <v>15.066000000000001</v>
      </c>
      <c r="DH98" s="238">
        <v>23</v>
      </c>
    </row>
    <row r="99" spans="1:112" ht="20" customHeight="1" x14ac:dyDescent="0.35">
      <c r="A99" s="290"/>
      <c r="B99" s="270" t="s">
        <v>1514</v>
      </c>
      <c r="C99" s="270" t="s">
        <v>1587</v>
      </c>
      <c r="D99" s="297" t="s">
        <v>623</v>
      </c>
      <c r="E99" s="270" t="s">
        <v>34</v>
      </c>
      <c r="F99" s="270" t="s">
        <v>1803</v>
      </c>
      <c r="G99" s="270" t="s">
        <v>207</v>
      </c>
      <c r="H99" s="298">
        <f>13.95*1.08</f>
        <v>15.066000000000001</v>
      </c>
      <c r="I99" s="292">
        <v>20</v>
      </c>
      <c r="J99" s="292">
        <v>0</v>
      </c>
      <c r="K99" s="286"/>
      <c r="L99" s="286"/>
      <c r="M99" s="286"/>
      <c r="N99" s="286"/>
      <c r="O99" s="286"/>
      <c r="P99" s="286"/>
      <c r="Q99" s="286"/>
      <c r="R99" s="286"/>
      <c r="S99" s="286"/>
      <c r="T99" s="300">
        <v>23</v>
      </c>
      <c r="U99" s="286"/>
      <c r="V99" s="294"/>
      <c r="W99" s="286"/>
      <c r="X99" s="286"/>
      <c r="Y99" s="286"/>
      <c r="Z99" s="286"/>
      <c r="AA99" s="286"/>
      <c r="AB99" s="286"/>
      <c r="AC99" s="286"/>
      <c r="AD99" s="286"/>
      <c r="AE99" s="286"/>
      <c r="AF99" s="286"/>
      <c r="AG99" s="286"/>
      <c r="AH99" s="286"/>
      <c r="AI99" s="286"/>
      <c r="AJ99" s="286"/>
      <c r="AK99" s="287"/>
      <c r="AL99" s="288"/>
      <c r="AM99" s="287"/>
      <c r="AN99" s="287"/>
      <c r="AO99" s="287"/>
      <c r="AP99" s="286"/>
      <c r="AQ99" s="296"/>
      <c r="AR99" s="286"/>
      <c r="AS99" s="286"/>
      <c r="AT99" s="286"/>
      <c r="AU99" s="286"/>
      <c r="AV99" s="286"/>
      <c r="AW99" s="286"/>
      <c r="AX99" s="286"/>
      <c r="AY99" s="286"/>
      <c r="AZ99" s="286"/>
      <c r="BA99" s="286"/>
      <c r="BB99" s="286"/>
      <c r="BC99" s="286"/>
      <c r="BD99" s="287"/>
      <c r="BE99" s="287"/>
      <c r="BF99" s="287"/>
      <c r="BG99" s="288">
        <v>20</v>
      </c>
      <c r="BH99" s="287"/>
      <c r="BI99" s="287"/>
      <c r="BJ99" s="287"/>
      <c r="BK99" s="287"/>
      <c r="BL99" s="287"/>
      <c r="BM99" s="287"/>
      <c r="BN99" s="287"/>
      <c r="BO99" s="287"/>
      <c r="BP99" s="287"/>
      <c r="BQ99" s="287"/>
      <c r="BR99" s="287"/>
      <c r="BS99" s="287"/>
      <c r="BT99" s="287"/>
      <c r="BU99" s="287">
        <v>21</v>
      </c>
      <c r="BV99" s="287"/>
      <c r="BW99" s="287"/>
      <c r="BX99" s="286"/>
      <c r="BY99" s="289"/>
      <c r="BZ99" s="289"/>
      <c r="CA99" s="289"/>
      <c r="CB99" s="289"/>
      <c r="CC99" s="289"/>
      <c r="CD99" s="289"/>
      <c r="CE99" s="289"/>
      <c r="CF99" s="289"/>
      <c r="CG99" s="305"/>
      <c r="CH99" s="287"/>
      <c r="CI99" s="287"/>
      <c r="CJ99" s="287"/>
      <c r="CK99" s="287"/>
      <c r="CL99" s="287"/>
      <c r="CM99" s="287"/>
      <c r="CN99" s="287"/>
      <c r="CO99" s="287"/>
      <c r="CP99" s="287"/>
      <c r="CQ99" s="287"/>
      <c r="CR99" s="287"/>
      <c r="CS99" s="6"/>
      <c r="CT99" s="6"/>
      <c r="CU99" s="6"/>
      <c r="CV99" s="6"/>
      <c r="CW99" s="6"/>
      <c r="CX99" s="6"/>
      <c r="CY99" s="6"/>
      <c r="CZ99" s="6"/>
      <c r="DA99" s="343">
        <f t="shared" si="5"/>
        <v>15.066000000000001</v>
      </c>
      <c r="DH99" s="238">
        <v>12</v>
      </c>
    </row>
    <row r="100" spans="1:112" ht="20" customHeight="1" x14ac:dyDescent="0.35">
      <c r="A100" s="290">
        <v>522061</v>
      </c>
      <c r="B100" s="270" t="s">
        <v>738</v>
      </c>
      <c r="C100" s="270" t="s">
        <v>2134</v>
      </c>
      <c r="D100" s="297" t="s">
        <v>623</v>
      </c>
      <c r="E100" s="270" t="s">
        <v>34</v>
      </c>
      <c r="F100" s="270" t="s">
        <v>1570</v>
      </c>
      <c r="G100" s="270" t="s">
        <v>42</v>
      </c>
      <c r="H100" s="298">
        <f>8.5*1.08</f>
        <v>9.18</v>
      </c>
      <c r="I100" s="292">
        <v>11</v>
      </c>
      <c r="J100" s="286"/>
      <c r="K100" s="286"/>
      <c r="L100" s="286"/>
      <c r="M100" s="286"/>
      <c r="N100" s="286"/>
      <c r="O100" s="286"/>
      <c r="P100" s="286"/>
      <c r="Q100" s="286"/>
      <c r="R100" s="286"/>
      <c r="S100" s="286"/>
      <c r="T100" s="286"/>
      <c r="U100" s="286"/>
      <c r="V100" s="294"/>
      <c r="W100" s="286"/>
      <c r="X100" s="286"/>
      <c r="Y100" s="286"/>
      <c r="Z100" s="286"/>
      <c r="AA100" s="286"/>
      <c r="AB100" s="286"/>
      <c r="AC100" s="286"/>
      <c r="AD100" s="286"/>
      <c r="AE100" s="286"/>
      <c r="AF100" s="286"/>
      <c r="AG100" s="286"/>
      <c r="AH100" s="286"/>
      <c r="AI100" s="286"/>
      <c r="AJ100" s="286"/>
      <c r="AK100" s="287"/>
      <c r="AL100" s="288"/>
      <c r="AM100" s="287"/>
      <c r="AN100" s="287"/>
      <c r="AO100" s="287"/>
      <c r="AP100" s="286"/>
      <c r="AQ100" s="296"/>
      <c r="AR100" s="286"/>
      <c r="AS100" s="286"/>
      <c r="AT100" s="286"/>
      <c r="AU100" s="286"/>
      <c r="AV100" s="286"/>
      <c r="AW100" s="286"/>
      <c r="AX100" s="286"/>
      <c r="AY100" s="286"/>
      <c r="AZ100" s="286"/>
      <c r="BA100" s="286"/>
      <c r="BB100" s="286"/>
      <c r="BC100" s="286"/>
      <c r="BD100" s="287"/>
      <c r="BE100" s="287"/>
      <c r="BF100" s="287"/>
      <c r="BG100" s="287"/>
      <c r="BH100" s="287"/>
      <c r="BI100" s="287"/>
      <c r="BJ100" s="287"/>
      <c r="BK100" s="287"/>
      <c r="BL100" s="287"/>
      <c r="BM100" s="287"/>
      <c r="BN100" s="287"/>
      <c r="BO100" s="287"/>
      <c r="BP100" s="287"/>
      <c r="BQ100" s="287"/>
      <c r="BR100" s="287"/>
      <c r="BS100" s="287"/>
      <c r="BT100" s="287">
        <v>7</v>
      </c>
      <c r="BU100" s="287"/>
      <c r="BV100" s="287"/>
      <c r="BW100" s="287"/>
      <c r="BX100" s="286"/>
      <c r="BY100" s="289"/>
      <c r="BZ100" s="289"/>
      <c r="CA100" s="289"/>
      <c r="CB100" s="289"/>
      <c r="CC100" s="289"/>
      <c r="CD100" s="289"/>
      <c r="CE100" s="289"/>
      <c r="CF100" s="289"/>
      <c r="CG100" s="287"/>
      <c r="CH100" s="287"/>
      <c r="CI100" s="287"/>
      <c r="CJ100" s="287"/>
      <c r="CK100" s="287"/>
      <c r="CL100" s="287"/>
      <c r="CM100" s="287"/>
      <c r="CN100" s="287"/>
      <c r="CO100" s="287"/>
      <c r="CP100" s="287"/>
      <c r="CQ100" s="287">
        <v>12</v>
      </c>
      <c r="CR100" s="287"/>
      <c r="CS100" s="288">
        <f>I100</f>
        <v>11</v>
      </c>
      <c r="CT100" s="6"/>
      <c r="CU100" s="6"/>
      <c r="CV100" s="6"/>
      <c r="CW100" s="6"/>
      <c r="CX100" s="6"/>
      <c r="CY100" s="6"/>
      <c r="CZ100" s="6"/>
      <c r="DA100" s="343">
        <f t="shared" si="5"/>
        <v>9.18</v>
      </c>
      <c r="DH100" s="238">
        <v>60</v>
      </c>
    </row>
    <row r="101" spans="1:112" ht="20" customHeight="1" x14ac:dyDescent="0.35">
      <c r="A101" s="290"/>
      <c r="B101" s="270" t="s">
        <v>740</v>
      </c>
      <c r="C101" s="270" t="s">
        <v>1588</v>
      </c>
      <c r="D101" s="297" t="s">
        <v>623</v>
      </c>
      <c r="E101" s="270" t="s">
        <v>34</v>
      </c>
      <c r="F101" s="270" t="s">
        <v>1802</v>
      </c>
      <c r="G101" s="270" t="s">
        <v>42</v>
      </c>
      <c r="H101" s="298">
        <f>8.5*1.08</f>
        <v>9.18</v>
      </c>
      <c r="I101" s="292">
        <v>11</v>
      </c>
      <c r="J101" s="286"/>
      <c r="K101" s="286"/>
      <c r="L101" s="286"/>
      <c r="M101" s="286"/>
      <c r="N101" s="286"/>
      <c r="O101" s="286"/>
      <c r="P101" s="286"/>
      <c r="Q101" s="286"/>
      <c r="R101" s="286"/>
      <c r="S101" s="286"/>
      <c r="T101" s="286"/>
      <c r="U101" s="286"/>
      <c r="V101" s="294"/>
      <c r="W101" s="286"/>
      <c r="X101" s="286"/>
      <c r="Y101" s="286"/>
      <c r="Z101" s="286"/>
      <c r="AA101" s="286"/>
      <c r="AB101" s="286"/>
      <c r="AC101" s="286"/>
      <c r="AD101" s="286"/>
      <c r="AE101" s="286"/>
      <c r="AF101" s="286"/>
      <c r="AG101" s="286"/>
      <c r="AH101" s="286"/>
      <c r="AI101" s="286"/>
      <c r="AJ101" s="286"/>
      <c r="AK101" s="287"/>
      <c r="AL101" s="288"/>
      <c r="AM101" s="287"/>
      <c r="AN101" s="287"/>
      <c r="AO101" s="287"/>
      <c r="AP101" s="286"/>
      <c r="AQ101" s="296"/>
      <c r="AR101" s="286"/>
      <c r="AS101" s="286"/>
      <c r="AT101" s="286"/>
      <c r="AU101" s="286"/>
      <c r="AV101" s="286"/>
      <c r="AW101" s="286"/>
      <c r="AX101" s="286"/>
      <c r="AY101" s="286"/>
      <c r="AZ101" s="286"/>
      <c r="BA101" s="286"/>
      <c r="BB101" s="286"/>
      <c r="BC101" s="286"/>
      <c r="BD101" s="287"/>
      <c r="BE101" s="287"/>
      <c r="BF101" s="287"/>
      <c r="BG101" s="287"/>
      <c r="BH101" s="287"/>
      <c r="BI101" s="287"/>
      <c r="BJ101" s="287"/>
      <c r="BK101" s="287"/>
      <c r="BL101" s="287"/>
      <c r="BM101" s="287"/>
      <c r="BN101" s="287"/>
      <c r="BO101" s="287"/>
      <c r="BP101" s="287"/>
      <c r="BQ101" s="287"/>
      <c r="BR101" s="287"/>
      <c r="BS101" s="287"/>
      <c r="BT101" s="287"/>
      <c r="BU101" s="287"/>
      <c r="BV101" s="287"/>
      <c r="BW101" s="287"/>
      <c r="BX101" s="286"/>
      <c r="BY101" s="289"/>
      <c r="BZ101" s="289"/>
      <c r="CA101" s="289"/>
      <c r="CB101" s="289"/>
      <c r="CC101" s="289"/>
      <c r="CD101" s="289"/>
      <c r="CE101" s="289"/>
      <c r="CF101" s="289"/>
      <c r="CG101" s="287"/>
      <c r="CH101" s="287"/>
      <c r="CI101" s="287"/>
      <c r="CJ101" s="287"/>
      <c r="CK101" s="287"/>
      <c r="CL101" s="287"/>
      <c r="CM101" s="287"/>
      <c r="CN101" s="287"/>
      <c r="CO101" s="287"/>
      <c r="CP101" s="287"/>
      <c r="CQ101" s="287"/>
      <c r="CR101" s="287"/>
      <c r="CS101" s="288"/>
      <c r="CT101" s="6"/>
      <c r="CU101" s="6"/>
      <c r="CV101" s="6"/>
      <c r="CW101" s="6"/>
      <c r="CX101" s="6"/>
      <c r="CY101" s="6"/>
      <c r="CZ101" s="6"/>
      <c r="DA101" s="343">
        <f t="shared" si="5"/>
        <v>9.18</v>
      </c>
      <c r="DH101" s="238"/>
    </row>
    <row r="102" spans="1:112" ht="20" customHeight="1" x14ac:dyDescent="0.35">
      <c r="A102" s="290" t="s">
        <v>1984</v>
      </c>
      <c r="B102" s="270" t="s">
        <v>1510</v>
      </c>
      <c r="C102" s="270" t="s">
        <v>1589</v>
      </c>
      <c r="D102" s="297" t="s">
        <v>623</v>
      </c>
      <c r="E102" s="270" t="s">
        <v>34</v>
      </c>
      <c r="F102" s="270" t="s">
        <v>1802</v>
      </c>
      <c r="G102" s="270" t="s">
        <v>42</v>
      </c>
      <c r="H102" s="298">
        <f>8.5*1.08</f>
        <v>9.18</v>
      </c>
      <c r="I102" s="292">
        <v>8</v>
      </c>
      <c r="J102" s="286"/>
      <c r="K102" s="286"/>
      <c r="L102" s="286"/>
      <c r="M102" s="286"/>
      <c r="N102" s="286"/>
      <c r="O102" s="286"/>
      <c r="P102" s="286"/>
      <c r="Q102" s="286"/>
      <c r="R102" s="286"/>
      <c r="S102" s="286"/>
      <c r="T102" s="286"/>
      <c r="U102" s="286"/>
      <c r="V102" s="294"/>
      <c r="W102" s="286"/>
      <c r="X102" s="286"/>
      <c r="Y102" s="286"/>
      <c r="Z102" s="286"/>
      <c r="AA102" s="286"/>
      <c r="AB102" s="286"/>
      <c r="AC102" s="286"/>
      <c r="AD102" s="286"/>
      <c r="AE102" s="286"/>
      <c r="AF102" s="286"/>
      <c r="AG102" s="286"/>
      <c r="AH102" s="286"/>
      <c r="AI102" s="286"/>
      <c r="AJ102" s="286"/>
      <c r="AK102" s="287"/>
      <c r="AL102" s="288"/>
      <c r="AM102" s="287"/>
      <c r="AN102" s="287"/>
      <c r="AO102" s="287"/>
      <c r="AP102" s="286"/>
      <c r="AQ102" s="296"/>
      <c r="AR102" s="286"/>
      <c r="AS102" s="286"/>
      <c r="AT102" s="286"/>
      <c r="AU102" s="286"/>
      <c r="AV102" s="286"/>
      <c r="AW102" s="286"/>
      <c r="AX102" s="286"/>
      <c r="AY102" s="286"/>
      <c r="AZ102" s="286"/>
      <c r="BA102" s="286"/>
      <c r="BB102" s="286"/>
      <c r="BC102" s="286"/>
      <c r="BD102" s="287"/>
      <c r="BE102" s="287"/>
      <c r="BF102" s="287"/>
      <c r="BG102" s="287"/>
      <c r="BH102" s="287"/>
      <c r="BI102" s="287"/>
      <c r="BJ102" s="287"/>
      <c r="BK102" s="287"/>
      <c r="BL102" s="287"/>
      <c r="BM102" s="287"/>
      <c r="BN102" s="287"/>
      <c r="BO102" s="287"/>
      <c r="BP102" s="287"/>
      <c r="BQ102" s="287"/>
      <c r="BR102" s="287"/>
      <c r="BS102" s="287"/>
      <c r="BT102" s="287"/>
      <c r="BU102" s="287"/>
      <c r="BV102" s="287"/>
      <c r="BW102" s="287"/>
      <c r="BX102" s="286"/>
      <c r="BY102" s="289"/>
      <c r="BZ102" s="289"/>
      <c r="CA102" s="289"/>
      <c r="CB102" s="289"/>
      <c r="CC102" s="289"/>
      <c r="CD102" s="289"/>
      <c r="CE102" s="289"/>
      <c r="CF102" s="289"/>
      <c r="CG102" s="287"/>
      <c r="CH102" s="287"/>
      <c r="CI102" s="287"/>
      <c r="CJ102" s="287"/>
      <c r="CK102" s="287"/>
      <c r="CL102" s="287"/>
      <c r="CM102" s="287"/>
      <c r="CN102" s="287"/>
      <c r="CO102" s="287"/>
      <c r="CP102" s="287"/>
      <c r="CQ102" s="287">
        <v>12</v>
      </c>
      <c r="CR102" s="287"/>
      <c r="CS102" s="288"/>
      <c r="CT102" s="6"/>
      <c r="CU102" s="6"/>
      <c r="CV102" s="6"/>
      <c r="CW102" s="6"/>
      <c r="CX102" s="6"/>
      <c r="CY102" s="6"/>
      <c r="CZ102" s="6"/>
      <c r="DA102" s="343">
        <f t="shared" si="5"/>
        <v>9.18</v>
      </c>
      <c r="DH102" s="238"/>
    </row>
    <row r="103" spans="1:112" ht="20" customHeight="1" x14ac:dyDescent="0.35">
      <c r="A103" s="290"/>
      <c r="B103" s="270" t="s">
        <v>1513</v>
      </c>
      <c r="C103" s="270" t="s">
        <v>1590</v>
      </c>
      <c r="D103" s="297" t="s">
        <v>623</v>
      </c>
      <c r="E103" s="270" t="s">
        <v>34</v>
      </c>
      <c r="F103" s="270" t="s">
        <v>1802</v>
      </c>
      <c r="G103" s="270" t="s">
        <v>42</v>
      </c>
      <c r="H103" s="298">
        <f>8.5*1.08</f>
        <v>9.18</v>
      </c>
      <c r="I103" s="292">
        <v>11</v>
      </c>
      <c r="J103" s="286"/>
      <c r="K103" s="286"/>
      <c r="L103" s="286"/>
      <c r="M103" s="286"/>
      <c r="N103" s="286"/>
      <c r="O103" s="286"/>
      <c r="P103" s="286"/>
      <c r="Q103" s="286"/>
      <c r="R103" s="286"/>
      <c r="S103" s="286"/>
      <c r="T103" s="286"/>
      <c r="U103" s="286"/>
      <c r="V103" s="294"/>
      <c r="W103" s="286"/>
      <c r="X103" s="286"/>
      <c r="Y103" s="286"/>
      <c r="Z103" s="286"/>
      <c r="AA103" s="286"/>
      <c r="AB103" s="286"/>
      <c r="AC103" s="286"/>
      <c r="AD103" s="286"/>
      <c r="AE103" s="286"/>
      <c r="AF103" s="286"/>
      <c r="AG103" s="286"/>
      <c r="AH103" s="286"/>
      <c r="AI103" s="286"/>
      <c r="AJ103" s="286"/>
      <c r="AK103" s="287"/>
      <c r="AL103" s="288"/>
      <c r="AM103" s="287"/>
      <c r="AN103" s="287"/>
      <c r="AO103" s="287"/>
      <c r="AP103" s="286"/>
      <c r="AQ103" s="296"/>
      <c r="AR103" s="286"/>
      <c r="AS103" s="286"/>
      <c r="AT103" s="286"/>
      <c r="AU103" s="286"/>
      <c r="AV103" s="286"/>
      <c r="AW103" s="286"/>
      <c r="AX103" s="286"/>
      <c r="AY103" s="286"/>
      <c r="AZ103" s="286"/>
      <c r="BA103" s="286"/>
      <c r="BB103" s="286"/>
      <c r="BC103" s="286"/>
      <c r="BD103" s="287"/>
      <c r="BE103" s="287"/>
      <c r="BF103" s="287"/>
      <c r="BG103" s="287"/>
      <c r="BH103" s="287"/>
      <c r="BI103" s="287"/>
      <c r="BJ103" s="287"/>
      <c r="BK103" s="287"/>
      <c r="BL103" s="287"/>
      <c r="BM103" s="287"/>
      <c r="BN103" s="287"/>
      <c r="BO103" s="287"/>
      <c r="BP103" s="287"/>
      <c r="BQ103" s="287"/>
      <c r="BR103" s="287"/>
      <c r="BS103" s="287"/>
      <c r="BT103" s="287"/>
      <c r="BU103" s="287"/>
      <c r="BV103" s="287"/>
      <c r="BW103" s="287"/>
      <c r="BX103" s="286"/>
      <c r="BY103" s="289"/>
      <c r="BZ103" s="289"/>
      <c r="CA103" s="289"/>
      <c r="CB103" s="289"/>
      <c r="CC103" s="289"/>
      <c r="CD103" s="289"/>
      <c r="CE103" s="289"/>
      <c r="CF103" s="289"/>
      <c r="CG103" s="287"/>
      <c r="CH103" s="287"/>
      <c r="CI103" s="287"/>
      <c r="CJ103" s="287"/>
      <c r="CK103" s="287"/>
      <c r="CL103" s="287"/>
      <c r="CM103" s="287"/>
      <c r="CN103" s="287"/>
      <c r="CO103" s="287"/>
      <c r="CP103" s="287"/>
      <c r="CQ103" s="287">
        <v>12</v>
      </c>
      <c r="CR103" s="287"/>
      <c r="CS103" s="288"/>
      <c r="CT103" s="6"/>
      <c r="CU103" s="6"/>
      <c r="CV103" s="6"/>
      <c r="CW103" s="6"/>
      <c r="CX103" s="6"/>
      <c r="CY103" s="6"/>
      <c r="CZ103" s="6"/>
      <c r="DA103" s="343">
        <f t="shared" si="5"/>
        <v>9.18</v>
      </c>
      <c r="DH103" s="238"/>
    </row>
    <row r="104" spans="1:112" ht="20" customHeight="1" x14ac:dyDescent="0.35">
      <c r="A104" s="290"/>
      <c r="B104" s="306" t="s">
        <v>1076</v>
      </c>
      <c r="C104" s="306" t="s">
        <v>1299</v>
      </c>
      <c r="D104" s="270" t="s">
        <v>623</v>
      </c>
      <c r="E104" s="270" t="s">
        <v>34</v>
      </c>
      <c r="F104" s="270" t="s">
        <v>62</v>
      </c>
      <c r="G104" s="270" t="s">
        <v>38</v>
      </c>
      <c r="H104" s="310">
        <v>5</v>
      </c>
      <c r="I104" s="292">
        <v>7</v>
      </c>
      <c r="J104" s="292">
        <v>0</v>
      </c>
      <c r="K104" s="286"/>
      <c r="L104" s="286"/>
      <c r="M104" s="286"/>
      <c r="N104" s="286"/>
      <c r="O104" s="286"/>
      <c r="P104" s="286"/>
      <c r="Q104" s="286"/>
      <c r="R104" s="286"/>
      <c r="S104" s="286"/>
      <c r="T104" s="300">
        <v>8</v>
      </c>
      <c r="U104" s="286"/>
      <c r="V104" s="294"/>
      <c r="W104" s="286"/>
      <c r="X104" s="286"/>
      <c r="Y104" s="286"/>
      <c r="Z104" s="286"/>
      <c r="AA104" s="286"/>
      <c r="AB104" s="286"/>
      <c r="AC104" s="286"/>
      <c r="AD104" s="286"/>
      <c r="AE104" s="286"/>
      <c r="AF104" s="286"/>
      <c r="AG104" s="286"/>
      <c r="AH104" s="286"/>
      <c r="AI104" s="286"/>
      <c r="AJ104" s="286"/>
      <c r="AK104" s="287"/>
      <c r="AL104" s="288"/>
      <c r="AM104" s="287"/>
      <c r="AN104" s="287"/>
      <c r="AO104" s="287"/>
      <c r="AP104" s="286"/>
      <c r="AQ104" s="296"/>
      <c r="AR104" s="286"/>
      <c r="AS104" s="286"/>
      <c r="AT104" s="286"/>
      <c r="AU104" s="286"/>
      <c r="AV104" s="286"/>
      <c r="AW104" s="286"/>
      <c r="AX104" s="286"/>
      <c r="AY104" s="286"/>
      <c r="AZ104" s="286"/>
      <c r="BA104" s="286"/>
      <c r="BB104" s="286"/>
      <c r="BC104" s="286"/>
      <c r="BD104" s="287"/>
      <c r="BE104" s="287"/>
      <c r="BF104" s="287"/>
      <c r="BG104" s="288">
        <v>7</v>
      </c>
      <c r="BH104" s="287"/>
      <c r="BI104" s="287"/>
      <c r="BJ104" s="287">
        <v>7</v>
      </c>
      <c r="BK104" s="287"/>
      <c r="BL104" s="287"/>
      <c r="BM104" s="287"/>
      <c r="BN104" s="287"/>
      <c r="BO104" s="287"/>
      <c r="BP104" s="287"/>
      <c r="BQ104" s="287"/>
      <c r="BR104" s="287"/>
      <c r="BS104" s="287"/>
      <c r="BT104" s="287"/>
      <c r="BU104" s="299">
        <v>7.5</v>
      </c>
      <c r="BV104" s="287"/>
      <c r="BW104" s="287"/>
      <c r="BX104" s="286"/>
      <c r="BY104" s="289"/>
      <c r="BZ104" s="289">
        <v>7.5</v>
      </c>
      <c r="CA104" s="289"/>
      <c r="CB104" s="289"/>
      <c r="CC104" s="289"/>
      <c r="CD104" s="289"/>
      <c r="CE104" s="289"/>
      <c r="CF104" s="289"/>
      <c r="CG104" s="305"/>
      <c r="CH104" s="287"/>
      <c r="CI104" s="287"/>
      <c r="CJ104" s="287"/>
      <c r="CK104" s="287"/>
      <c r="CL104" s="287"/>
      <c r="CM104" s="287"/>
      <c r="CN104" s="287"/>
      <c r="CO104" s="287"/>
      <c r="CP104" s="287"/>
      <c r="CQ104" s="287">
        <v>7</v>
      </c>
      <c r="CR104" s="287"/>
      <c r="CS104" s="288">
        <f>I104</f>
        <v>7</v>
      </c>
      <c r="CT104" s="6"/>
      <c r="CU104" s="6"/>
      <c r="CV104" s="6"/>
      <c r="CW104" s="6"/>
      <c r="CX104" s="6"/>
      <c r="CY104" s="6"/>
      <c r="CZ104" s="6"/>
      <c r="DA104" s="343">
        <f t="shared" si="5"/>
        <v>5</v>
      </c>
      <c r="DH104" s="238">
        <v>60</v>
      </c>
    </row>
    <row r="105" spans="1:112" ht="20" customHeight="1" x14ac:dyDescent="0.35">
      <c r="A105" s="290"/>
      <c r="B105" s="306" t="s">
        <v>1077</v>
      </c>
      <c r="C105" s="306" t="s">
        <v>1300</v>
      </c>
      <c r="D105" s="270" t="s">
        <v>623</v>
      </c>
      <c r="E105" s="270" t="s">
        <v>34</v>
      </c>
      <c r="F105" s="270" t="s">
        <v>62</v>
      </c>
      <c r="G105" s="270" t="s">
        <v>38</v>
      </c>
      <c r="H105" s="310">
        <v>5.5</v>
      </c>
      <c r="I105" s="296">
        <v>0</v>
      </c>
      <c r="J105" s="292">
        <v>0</v>
      </c>
      <c r="K105" s="286"/>
      <c r="L105" s="286"/>
      <c r="M105" s="286"/>
      <c r="N105" s="286"/>
      <c r="O105" s="286"/>
      <c r="P105" s="286"/>
      <c r="Q105" s="286"/>
      <c r="R105" s="286"/>
      <c r="S105" s="286"/>
      <c r="T105" s="300">
        <v>8</v>
      </c>
      <c r="U105" s="286"/>
      <c r="V105" s="294"/>
      <c r="W105" s="286"/>
      <c r="X105" s="286"/>
      <c r="Y105" s="286"/>
      <c r="Z105" s="286"/>
      <c r="AA105" s="286"/>
      <c r="AB105" s="286"/>
      <c r="AC105" s="286"/>
      <c r="AD105" s="286"/>
      <c r="AE105" s="286"/>
      <c r="AF105" s="286">
        <v>7</v>
      </c>
      <c r="AG105" s="286"/>
      <c r="AH105" s="286"/>
      <c r="AI105" s="286"/>
      <c r="AJ105" s="286"/>
      <c r="AK105" s="287"/>
      <c r="AL105" s="288"/>
      <c r="AM105" s="287"/>
      <c r="AN105" s="287"/>
      <c r="AO105" s="287"/>
      <c r="AP105" s="286"/>
      <c r="AQ105" s="296"/>
      <c r="AR105" s="286"/>
      <c r="AS105" s="286"/>
      <c r="AT105" s="286"/>
      <c r="AU105" s="286"/>
      <c r="AV105" s="286"/>
      <c r="AW105" s="286"/>
      <c r="AX105" s="286"/>
      <c r="AY105" s="286"/>
      <c r="AZ105" s="286"/>
      <c r="BA105" s="286"/>
      <c r="BB105" s="286"/>
      <c r="BC105" s="286"/>
      <c r="BD105" s="287"/>
      <c r="BE105" s="287"/>
      <c r="BF105" s="287"/>
      <c r="BG105" s="288">
        <v>7.5</v>
      </c>
      <c r="BH105" s="287"/>
      <c r="BI105" s="287"/>
      <c r="BJ105" s="287"/>
      <c r="BK105" s="287"/>
      <c r="BL105" s="287"/>
      <c r="BM105" s="287"/>
      <c r="BN105" s="287"/>
      <c r="BO105" s="287"/>
      <c r="BP105" s="287"/>
      <c r="BQ105" s="287"/>
      <c r="BR105" s="287"/>
      <c r="BS105" s="287"/>
      <c r="BT105" s="287"/>
      <c r="BU105" s="287"/>
      <c r="BV105" s="287"/>
      <c r="BW105" s="287"/>
      <c r="BX105" s="286"/>
      <c r="BY105" s="289"/>
      <c r="BZ105" s="289">
        <v>7.5</v>
      </c>
      <c r="CA105" s="289"/>
      <c r="CB105" s="289"/>
      <c r="CC105" s="289"/>
      <c r="CD105" s="289"/>
      <c r="CE105" s="289"/>
      <c r="CF105" s="289"/>
      <c r="CG105" s="305"/>
      <c r="CH105" s="287"/>
      <c r="CI105" s="287"/>
      <c r="CJ105" s="287"/>
      <c r="CK105" s="287"/>
      <c r="CL105" s="287"/>
      <c r="CM105" s="287"/>
      <c r="CN105" s="287"/>
      <c r="CO105" s="287"/>
      <c r="CP105" s="287"/>
      <c r="CQ105" s="287"/>
      <c r="CR105" s="287"/>
      <c r="CS105" s="6"/>
      <c r="CT105" s="6"/>
      <c r="CU105" s="6"/>
      <c r="CV105" s="6"/>
      <c r="CW105" s="6"/>
      <c r="CX105" s="6"/>
      <c r="CY105" s="6"/>
      <c r="CZ105" s="6"/>
      <c r="DA105" s="343">
        <f t="shared" si="5"/>
        <v>5.5</v>
      </c>
      <c r="DH105" s="238">
        <v>43</v>
      </c>
    </row>
    <row r="106" spans="1:112" ht="20" customHeight="1" x14ac:dyDescent="0.35">
      <c r="A106" s="290"/>
      <c r="B106" s="306" t="s">
        <v>1750</v>
      </c>
      <c r="C106" s="306" t="s">
        <v>1751</v>
      </c>
      <c r="D106" s="270" t="s">
        <v>513</v>
      </c>
      <c r="E106" s="270" t="s">
        <v>34</v>
      </c>
      <c r="F106" s="270" t="s">
        <v>614</v>
      </c>
      <c r="G106" s="270" t="s">
        <v>38</v>
      </c>
      <c r="H106" s="310">
        <v>5.19</v>
      </c>
      <c r="I106" s="296"/>
      <c r="J106" s="300"/>
      <c r="K106" s="286"/>
      <c r="L106" s="286"/>
      <c r="M106" s="286"/>
      <c r="N106" s="286"/>
      <c r="O106" s="286"/>
      <c r="P106" s="286">
        <v>8</v>
      </c>
      <c r="Q106" s="286"/>
      <c r="R106" s="286"/>
      <c r="S106" s="286"/>
      <c r="T106" s="300"/>
      <c r="U106" s="286"/>
      <c r="V106" s="294"/>
      <c r="W106" s="286"/>
      <c r="X106" s="286"/>
      <c r="Y106" s="286"/>
      <c r="Z106" s="286"/>
      <c r="AA106" s="286"/>
      <c r="AB106" s="286"/>
      <c r="AC106" s="286"/>
      <c r="AD106" s="286"/>
      <c r="AE106" s="286"/>
      <c r="AF106" s="286"/>
      <c r="AG106" s="286"/>
      <c r="AH106" s="286"/>
      <c r="AI106" s="286"/>
      <c r="AJ106" s="286"/>
      <c r="AK106" s="287"/>
      <c r="AL106" s="288"/>
      <c r="AM106" s="287"/>
      <c r="AN106" s="287"/>
      <c r="AO106" s="287"/>
      <c r="AP106" s="286"/>
      <c r="AQ106" s="296"/>
      <c r="AR106" s="286"/>
      <c r="AS106" s="286"/>
      <c r="AT106" s="286"/>
      <c r="AU106" s="286"/>
      <c r="AV106" s="286"/>
      <c r="AW106" s="286"/>
      <c r="AX106" s="286"/>
      <c r="AY106" s="286"/>
      <c r="AZ106" s="286"/>
      <c r="BA106" s="286"/>
      <c r="BB106" s="286"/>
      <c r="BC106" s="286"/>
      <c r="BD106" s="287"/>
      <c r="BE106" s="287"/>
      <c r="BF106" s="287"/>
      <c r="BG106" s="288"/>
      <c r="BH106" s="287"/>
      <c r="BI106" s="287"/>
      <c r="BJ106" s="287"/>
      <c r="BK106" s="287"/>
      <c r="BL106" s="287"/>
      <c r="BM106" s="287"/>
      <c r="BN106" s="287"/>
      <c r="BO106" s="287"/>
      <c r="BP106" s="287"/>
      <c r="BQ106" s="287"/>
      <c r="BR106" s="287"/>
      <c r="BS106" s="287"/>
      <c r="BT106" s="287"/>
      <c r="BU106" s="287"/>
      <c r="BV106" s="287"/>
      <c r="BW106" s="287"/>
      <c r="BX106" s="286"/>
      <c r="BY106" s="289"/>
      <c r="BZ106" s="289"/>
      <c r="CA106" s="289"/>
      <c r="CB106" s="289"/>
      <c r="CC106" s="289"/>
      <c r="CD106" s="289"/>
      <c r="CE106" s="289"/>
      <c r="CF106" s="289"/>
      <c r="CG106" s="305"/>
      <c r="CH106" s="287"/>
      <c r="CI106" s="287"/>
      <c r="CJ106" s="287"/>
      <c r="CK106" s="287"/>
      <c r="CL106" s="287"/>
      <c r="CM106" s="287"/>
      <c r="CN106" s="287"/>
      <c r="CO106" s="287"/>
      <c r="CP106" s="287"/>
      <c r="CQ106" s="287"/>
      <c r="CR106" s="287"/>
      <c r="CS106" s="6"/>
      <c r="CT106" s="6"/>
      <c r="CU106" s="6"/>
      <c r="CV106" s="6"/>
      <c r="CW106" s="6"/>
      <c r="CX106" s="6"/>
      <c r="CY106" s="6"/>
      <c r="CZ106" s="6"/>
      <c r="DA106" s="343">
        <f t="shared" si="5"/>
        <v>5.19</v>
      </c>
      <c r="DH106" s="238"/>
    </row>
    <row r="107" spans="1:112" ht="20" customHeight="1" x14ac:dyDescent="0.35">
      <c r="A107" s="290"/>
      <c r="B107" s="306" t="s">
        <v>2208</v>
      </c>
      <c r="C107" s="306" t="s">
        <v>2209</v>
      </c>
      <c r="D107" s="270" t="s">
        <v>630</v>
      </c>
      <c r="E107" s="270" t="s">
        <v>34</v>
      </c>
      <c r="F107" s="270" t="s">
        <v>2272</v>
      </c>
      <c r="G107" s="270" t="s">
        <v>207</v>
      </c>
      <c r="H107" s="310"/>
      <c r="I107" s="296"/>
      <c r="J107" s="300"/>
      <c r="K107" s="286"/>
      <c r="L107" s="286"/>
      <c r="M107" s="286"/>
      <c r="N107" s="286"/>
      <c r="O107" s="286"/>
      <c r="P107" s="286"/>
      <c r="Q107" s="286"/>
      <c r="R107" s="286"/>
      <c r="S107" s="286"/>
      <c r="T107" s="300"/>
      <c r="U107" s="286"/>
      <c r="V107" s="294"/>
      <c r="W107" s="286"/>
      <c r="X107" s="286"/>
      <c r="Y107" s="286"/>
      <c r="Z107" s="286"/>
      <c r="AA107" s="286">
        <v>21</v>
      </c>
      <c r="AB107" s="286"/>
      <c r="AC107" s="286"/>
      <c r="AD107" s="286"/>
      <c r="AE107" s="286"/>
      <c r="AF107" s="286"/>
      <c r="AG107" s="286"/>
      <c r="AH107" s="286"/>
      <c r="AI107" s="286"/>
      <c r="AJ107" s="286"/>
      <c r="AK107" s="287"/>
      <c r="AL107" s="288"/>
      <c r="AM107" s="287"/>
      <c r="AN107" s="287"/>
      <c r="AO107" s="287"/>
      <c r="AP107" s="286"/>
      <c r="AQ107" s="296"/>
      <c r="AR107" s="286"/>
      <c r="AS107" s="286"/>
      <c r="AT107" s="286"/>
      <c r="AU107" s="286"/>
      <c r="AV107" s="286"/>
      <c r="AW107" s="286"/>
      <c r="AX107" s="286"/>
      <c r="AY107" s="286"/>
      <c r="AZ107" s="286"/>
      <c r="BA107" s="286"/>
      <c r="BB107" s="286"/>
      <c r="BC107" s="286"/>
      <c r="BD107" s="287"/>
      <c r="BE107" s="287"/>
      <c r="BF107" s="287"/>
      <c r="BG107" s="288"/>
      <c r="BH107" s="287"/>
      <c r="BI107" s="287"/>
      <c r="BJ107" s="287"/>
      <c r="BK107" s="287"/>
      <c r="BL107" s="287"/>
      <c r="BM107" s="287"/>
      <c r="BN107" s="287"/>
      <c r="BO107" s="287"/>
      <c r="BP107" s="287"/>
      <c r="BQ107" s="287"/>
      <c r="BR107" s="287"/>
      <c r="BS107" s="287"/>
      <c r="BT107" s="287"/>
      <c r="BU107" s="287"/>
      <c r="BV107" s="287"/>
      <c r="BW107" s="287"/>
      <c r="BX107" s="286"/>
      <c r="BY107" s="289"/>
      <c r="BZ107" s="289"/>
      <c r="CA107" s="289"/>
      <c r="CB107" s="289"/>
      <c r="CC107" s="289"/>
      <c r="CD107" s="289"/>
      <c r="CE107" s="289"/>
      <c r="CF107" s="289"/>
      <c r="CG107" s="305"/>
      <c r="CH107" s="287"/>
      <c r="CI107" s="287"/>
      <c r="CJ107" s="287"/>
      <c r="CK107" s="287"/>
      <c r="CL107" s="287"/>
      <c r="CM107" s="287"/>
      <c r="CN107" s="287"/>
      <c r="CO107" s="287"/>
      <c r="CP107" s="287"/>
      <c r="CQ107" s="287"/>
      <c r="CR107" s="287"/>
      <c r="CS107" s="6"/>
      <c r="CT107" s="6"/>
      <c r="CU107" s="6"/>
      <c r="CV107" s="6"/>
      <c r="CW107" s="6"/>
      <c r="CX107" s="6"/>
      <c r="CY107" s="6"/>
      <c r="CZ107" s="6"/>
      <c r="DA107" s="343"/>
      <c r="DH107" s="238"/>
    </row>
    <row r="108" spans="1:112" ht="20" customHeight="1" x14ac:dyDescent="0.35">
      <c r="A108" s="290"/>
      <c r="B108" s="270" t="s">
        <v>741</v>
      </c>
      <c r="C108" s="270" t="s">
        <v>640</v>
      </c>
      <c r="D108" s="297" t="s">
        <v>630</v>
      </c>
      <c r="E108" s="270" t="s">
        <v>34</v>
      </c>
      <c r="F108" s="270" t="s">
        <v>1801</v>
      </c>
      <c r="G108" s="270" t="s">
        <v>33</v>
      </c>
      <c r="H108" s="298">
        <v>93</v>
      </c>
      <c r="I108" s="292"/>
      <c r="J108" s="286"/>
      <c r="K108" s="286"/>
      <c r="L108" s="286"/>
      <c r="M108" s="286"/>
      <c r="N108" s="292">
        <v>118</v>
      </c>
      <c r="O108" s="286"/>
      <c r="P108" s="286"/>
      <c r="Q108" s="286"/>
      <c r="R108" s="286"/>
      <c r="S108" s="286"/>
      <c r="T108" s="286"/>
      <c r="U108" s="286"/>
      <c r="V108" s="294"/>
      <c r="W108" s="286"/>
      <c r="X108" s="286"/>
      <c r="Y108" s="286"/>
      <c r="Z108" s="286"/>
      <c r="AA108" s="286"/>
      <c r="AB108" s="286"/>
      <c r="AC108" s="286"/>
      <c r="AD108" s="286"/>
      <c r="AE108" s="286"/>
      <c r="AF108" s="286"/>
      <c r="AG108" s="286"/>
      <c r="AH108" s="286"/>
      <c r="AI108" s="286"/>
      <c r="AJ108" s="286"/>
      <c r="AK108" s="287"/>
      <c r="AL108" s="288"/>
      <c r="AM108" s="287"/>
      <c r="AN108" s="287"/>
      <c r="AO108" s="287"/>
      <c r="AP108" s="286"/>
      <c r="AQ108" s="296"/>
      <c r="AR108" s="286"/>
      <c r="AS108" s="286"/>
      <c r="AT108" s="286"/>
      <c r="AU108" s="286"/>
      <c r="AV108" s="286"/>
      <c r="AW108" s="286"/>
      <c r="AX108" s="286"/>
      <c r="AY108" s="286"/>
      <c r="AZ108" s="286"/>
      <c r="BA108" s="286"/>
      <c r="BB108" s="286"/>
      <c r="BC108" s="286"/>
      <c r="BD108" s="287"/>
      <c r="BE108" s="287"/>
      <c r="BF108" s="287"/>
      <c r="BG108" s="287"/>
      <c r="BH108" s="287"/>
      <c r="BI108" s="287"/>
      <c r="BJ108" s="287"/>
      <c r="BK108" s="287"/>
      <c r="BL108" s="287"/>
      <c r="BM108" s="287"/>
      <c r="BN108" s="287"/>
      <c r="BO108" s="287"/>
      <c r="BP108" s="287"/>
      <c r="BQ108" s="287"/>
      <c r="BR108" s="287"/>
      <c r="BS108" s="287"/>
      <c r="BT108" s="287"/>
      <c r="BU108" s="287"/>
      <c r="BV108" s="287"/>
      <c r="BW108" s="287"/>
      <c r="BX108" s="286"/>
      <c r="BY108" s="289"/>
      <c r="BZ108" s="289"/>
      <c r="CA108" s="289"/>
      <c r="CB108" s="289"/>
      <c r="CC108" s="289"/>
      <c r="CD108" s="289"/>
      <c r="CE108" s="289"/>
      <c r="CF108" s="289"/>
      <c r="CG108" s="287"/>
      <c r="CH108" s="287"/>
      <c r="CI108" s="287"/>
      <c r="CJ108" s="287"/>
      <c r="CK108" s="287"/>
      <c r="CL108" s="287"/>
      <c r="CM108" s="287"/>
      <c r="CN108" s="287"/>
      <c r="CO108" s="287"/>
      <c r="CP108" s="287"/>
      <c r="CQ108" s="287"/>
      <c r="CR108" s="287"/>
      <c r="CS108" s="6"/>
      <c r="CT108" s="6"/>
      <c r="CU108" s="6"/>
      <c r="CV108" s="6"/>
      <c r="CW108" s="6"/>
      <c r="CX108" s="6"/>
      <c r="CY108" s="6"/>
      <c r="CZ108" s="6"/>
      <c r="DA108" s="343">
        <f t="shared" si="5"/>
        <v>93</v>
      </c>
      <c r="DH108" s="238">
        <v>30</v>
      </c>
    </row>
    <row r="109" spans="1:112" ht="20" customHeight="1" x14ac:dyDescent="0.35">
      <c r="A109" s="290"/>
      <c r="B109" s="270" t="s">
        <v>742</v>
      </c>
      <c r="C109" s="270" t="s">
        <v>640</v>
      </c>
      <c r="D109" s="297" t="s">
        <v>630</v>
      </c>
      <c r="E109" s="270" t="s">
        <v>34</v>
      </c>
      <c r="F109" s="270" t="s">
        <v>1800</v>
      </c>
      <c r="G109" s="270" t="s">
        <v>187</v>
      </c>
      <c r="H109" s="298">
        <f>H108/10*2</f>
        <v>18.600000000000001</v>
      </c>
      <c r="I109" s="292"/>
      <c r="J109" s="286"/>
      <c r="K109" s="286"/>
      <c r="L109" s="286">
        <v>0</v>
      </c>
      <c r="M109" s="286"/>
      <c r="N109" s="286">
        <v>28</v>
      </c>
      <c r="O109" s="287">
        <v>28</v>
      </c>
      <c r="P109" s="292">
        <v>28</v>
      </c>
      <c r="Q109" s="287">
        <v>28</v>
      </c>
      <c r="R109" s="286"/>
      <c r="S109" s="286"/>
      <c r="T109" s="286"/>
      <c r="U109" s="286"/>
      <c r="V109" s="286"/>
      <c r="W109" s="286"/>
      <c r="X109" s="286"/>
      <c r="Y109" s="286"/>
      <c r="Z109" s="287">
        <v>28</v>
      </c>
      <c r="AA109" s="286"/>
      <c r="AB109" s="286"/>
      <c r="AC109" s="286"/>
      <c r="AD109" s="286"/>
      <c r="AE109" s="286"/>
      <c r="AF109" s="286"/>
      <c r="AG109" s="286"/>
      <c r="AH109" s="286"/>
      <c r="AI109" s="286"/>
      <c r="AJ109" s="286"/>
      <c r="AK109" s="287"/>
      <c r="AL109" s="288"/>
      <c r="AM109" s="287"/>
      <c r="AN109" s="287"/>
      <c r="AO109" s="287"/>
      <c r="AP109" s="286"/>
      <c r="AQ109" s="296"/>
      <c r="AR109" s="286"/>
      <c r="AS109" s="286"/>
      <c r="AT109" s="286"/>
      <c r="AU109" s="286"/>
      <c r="AV109" s="286"/>
      <c r="AW109" s="286"/>
      <c r="AX109" s="286"/>
      <c r="AY109" s="286"/>
      <c r="AZ109" s="286"/>
      <c r="BA109" s="286"/>
      <c r="BB109" s="286"/>
      <c r="BC109" s="286"/>
      <c r="BD109" s="287"/>
      <c r="BE109" s="287"/>
      <c r="BF109" s="287"/>
      <c r="BG109" s="288">
        <v>28</v>
      </c>
      <c r="BH109" s="287"/>
      <c r="BI109" s="287"/>
      <c r="BJ109" s="287"/>
      <c r="BK109" s="287"/>
      <c r="BL109" s="287"/>
      <c r="BM109" s="287">
        <v>28</v>
      </c>
      <c r="BN109" s="287"/>
      <c r="BO109" s="287"/>
      <c r="BP109" s="287"/>
      <c r="BQ109" s="287"/>
      <c r="BR109" s="287"/>
      <c r="BS109" s="287"/>
      <c r="BT109" s="287"/>
      <c r="BU109" s="287"/>
      <c r="BV109" s="287"/>
      <c r="BW109" s="287"/>
      <c r="BX109" s="286"/>
      <c r="BY109" s="289"/>
      <c r="BZ109" s="289">
        <v>28</v>
      </c>
      <c r="CA109" s="289"/>
      <c r="CB109" s="289"/>
      <c r="CC109" s="289"/>
      <c r="CD109" s="289"/>
      <c r="CE109" s="289"/>
      <c r="CF109" s="289"/>
      <c r="CG109" s="287"/>
      <c r="CH109" s="287"/>
      <c r="CI109" s="287"/>
      <c r="CJ109" s="287"/>
      <c r="CK109" s="287"/>
      <c r="CL109" s="287"/>
      <c r="CM109" s="287"/>
      <c r="CN109" s="287"/>
      <c r="CO109" s="287"/>
      <c r="CP109" s="287"/>
      <c r="CQ109" s="287">
        <v>6.5</v>
      </c>
      <c r="CR109" s="287"/>
      <c r="CS109" s="288">
        <f>I109</f>
        <v>0</v>
      </c>
      <c r="CT109" s="6"/>
      <c r="CU109" s="6"/>
      <c r="CV109" s="6"/>
      <c r="CW109" s="6"/>
      <c r="CX109" s="6"/>
      <c r="CY109" s="6"/>
      <c r="CZ109" s="6"/>
      <c r="DA109" s="343">
        <f t="shared" si="5"/>
        <v>18.600000000000001</v>
      </c>
      <c r="DH109" s="238">
        <v>38</v>
      </c>
    </row>
    <row r="110" spans="1:112" ht="20" customHeight="1" x14ac:dyDescent="0.35">
      <c r="A110" s="290">
        <v>520723</v>
      </c>
      <c r="B110" s="270" t="s">
        <v>743</v>
      </c>
      <c r="C110" s="270" t="s">
        <v>640</v>
      </c>
      <c r="D110" s="297" t="s">
        <v>630</v>
      </c>
      <c r="E110" s="270" t="s">
        <v>34</v>
      </c>
      <c r="F110" s="270" t="s">
        <v>1291</v>
      </c>
      <c r="G110" s="270" t="s">
        <v>187</v>
      </c>
      <c r="H110" s="298">
        <f>H109/4</f>
        <v>4.6500000000000004</v>
      </c>
      <c r="I110" s="300">
        <v>6.5</v>
      </c>
      <c r="J110" s="286"/>
      <c r="K110" s="286"/>
      <c r="L110" s="286"/>
      <c r="M110" s="286"/>
      <c r="N110" s="286"/>
      <c r="O110" s="287"/>
      <c r="P110" s="286"/>
      <c r="Q110" s="287"/>
      <c r="R110" s="286"/>
      <c r="S110" s="286"/>
      <c r="T110" s="286"/>
      <c r="U110" s="286"/>
      <c r="V110" s="286"/>
      <c r="W110" s="286"/>
      <c r="X110" s="286"/>
      <c r="Y110" s="286"/>
      <c r="Z110" s="287"/>
      <c r="AA110" s="286"/>
      <c r="AB110" s="286"/>
      <c r="AC110" s="286">
        <v>7</v>
      </c>
      <c r="AD110" s="286"/>
      <c r="AE110" s="286"/>
      <c r="AF110" s="286"/>
      <c r="AG110" s="286"/>
      <c r="AH110" s="286"/>
      <c r="AI110" s="286"/>
      <c r="AJ110" s="286"/>
      <c r="AK110" s="295"/>
      <c r="AL110" s="288"/>
      <c r="AM110" s="287"/>
      <c r="AN110" s="287"/>
      <c r="AO110" s="287"/>
      <c r="AP110" s="286"/>
      <c r="AQ110" s="296"/>
      <c r="AR110" s="286"/>
      <c r="AS110" s="286"/>
      <c r="AT110" s="286"/>
      <c r="AU110" s="286"/>
      <c r="AV110" s="286"/>
      <c r="AW110" s="286"/>
      <c r="AX110" s="286"/>
      <c r="AY110" s="286"/>
      <c r="AZ110" s="286"/>
      <c r="BA110" s="286"/>
      <c r="BB110" s="286"/>
      <c r="BC110" s="286"/>
      <c r="BD110" s="287"/>
      <c r="BE110" s="287"/>
      <c r="BF110" s="287"/>
      <c r="BG110" s="288">
        <v>7</v>
      </c>
      <c r="BH110" s="287"/>
      <c r="BI110" s="287"/>
      <c r="BJ110" s="287"/>
      <c r="BK110" s="287"/>
      <c r="BL110" s="287"/>
      <c r="BM110" s="287"/>
      <c r="BN110" s="287"/>
      <c r="BO110" s="287"/>
      <c r="BP110" s="287"/>
      <c r="BQ110" s="287"/>
      <c r="BR110" s="287"/>
      <c r="BS110" s="287"/>
      <c r="BT110" s="287"/>
      <c r="BU110" s="287"/>
      <c r="BV110" s="287"/>
      <c r="BW110" s="287"/>
      <c r="BX110" s="286"/>
      <c r="BY110" s="289"/>
      <c r="BZ110" s="289"/>
      <c r="CA110" s="289"/>
      <c r="CB110" s="289"/>
      <c r="CC110" s="289"/>
      <c r="CD110" s="289"/>
      <c r="CE110" s="289"/>
      <c r="CF110" s="289"/>
      <c r="CG110" s="287"/>
      <c r="CH110" s="287"/>
      <c r="CI110" s="287"/>
      <c r="CJ110" s="287"/>
      <c r="CK110" s="287"/>
      <c r="CL110" s="287"/>
      <c r="CM110" s="287"/>
      <c r="CN110" s="287"/>
      <c r="CO110" s="287"/>
      <c r="CP110" s="287"/>
      <c r="CQ110" s="287"/>
      <c r="CR110" s="287"/>
      <c r="CS110" s="296">
        <v>7</v>
      </c>
      <c r="CT110" s="6"/>
      <c r="CU110" s="6"/>
      <c r="CV110" s="6"/>
      <c r="CW110" s="6"/>
      <c r="CX110" s="6"/>
      <c r="CY110" s="6"/>
      <c r="CZ110" s="6"/>
      <c r="DA110" s="343">
        <f t="shared" si="5"/>
        <v>4.6500000000000004</v>
      </c>
      <c r="DH110" s="238">
        <v>42</v>
      </c>
    </row>
    <row r="111" spans="1:112" ht="20" customHeight="1" x14ac:dyDescent="0.35">
      <c r="A111" s="290"/>
      <c r="B111" s="270" t="s">
        <v>744</v>
      </c>
      <c r="C111" s="270" t="s">
        <v>1591</v>
      </c>
      <c r="D111" s="270"/>
      <c r="E111" s="270" t="s">
        <v>335</v>
      </c>
      <c r="F111" s="270" t="s">
        <v>32</v>
      </c>
      <c r="G111" s="270" t="s">
        <v>39</v>
      </c>
      <c r="H111" s="298">
        <v>27.5</v>
      </c>
      <c r="I111" s="286">
        <v>0</v>
      </c>
      <c r="J111" s="286"/>
      <c r="K111" s="286"/>
      <c r="L111" s="286">
        <v>0</v>
      </c>
      <c r="M111" s="286"/>
      <c r="N111" s="292">
        <v>35</v>
      </c>
      <c r="O111" s="286"/>
      <c r="P111" s="286"/>
      <c r="Q111" s="286"/>
      <c r="R111" s="286"/>
      <c r="S111" s="286"/>
      <c r="T111" s="286"/>
      <c r="U111" s="286"/>
      <c r="V111" s="294">
        <v>38</v>
      </c>
      <c r="W111" s="286"/>
      <c r="X111" s="286"/>
      <c r="Y111" s="286"/>
      <c r="Z111" s="286"/>
      <c r="AA111" s="286"/>
      <c r="AB111" s="286">
        <v>35</v>
      </c>
      <c r="AC111" s="286"/>
      <c r="AD111" s="286"/>
      <c r="AE111" s="286"/>
      <c r="AF111" s="286"/>
      <c r="AG111" s="286"/>
      <c r="AH111" s="286"/>
      <c r="AI111" s="286"/>
      <c r="AJ111" s="286"/>
      <c r="AK111" s="287"/>
      <c r="AL111" s="288"/>
      <c r="AM111" s="287"/>
      <c r="AN111" s="287"/>
      <c r="AO111" s="287"/>
      <c r="AP111" s="286"/>
      <c r="AQ111" s="296"/>
      <c r="AR111" s="286"/>
      <c r="AS111" s="286"/>
      <c r="AT111" s="286"/>
      <c r="AU111" s="286"/>
      <c r="AV111" s="286"/>
      <c r="AW111" s="286"/>
      <c r="AX111" s="286"/>
      <c r="AY111" s="286"/>
      <c r="AZ111" s="286"/>
      <c r="BA111" s="286"/>
      <c r="BB111" s="286"/>
      <c r="BC111" s="286"/>
      <c r="BD111" s="287"/>
      <c r="BE111" s="287"/>
      <c r="BF111" s="287"/>
      <c r="BG111" s="288">
        <v>38</v>
      </c>
      <c r="BH111" s="287"/>
      <c r="BI111" s="287"/>
      <c r="BJ111" s="287"/>
      <c r="BK111" s="287"/>
      <c r="BL111" s="287">
        <v>38</v>
      </c>
      <c r="BM111" s="287"/>
      <c r="BN111" s="287"/>
      <c r="BO111" s="287">
        <v>43</v>
      </c>
      <c r="BP111" s="287"/>
      <c r="BQ111" s="287"/>
      <c r="BR111" s="287"/>
      <c r="BS111" s="287"/>
      <c r="BT111" s="287"/>
      <c r="BU111" s="287"/>
      <c r="BV111" s="287"/>
      <c r="BW111" s="287"/>
      <c r="BX111" s="286"/>
      <c r="BY111" s="289"/>
      <c r="BZ111" s="289"/>
      <c r="CA111" s="289"/>
      <c r="CB111" s="289"/>
      <c r="CC111" s="289"/>
      <c r="CD111" s="289"/>
      <c r="CE111" s="289"/>
      <c r="CF111" s="289"/>
      <c r="CG111" s="287"/>
      <c r="CH111" s="287"/>
      <c r="CI111" s="287"/>
      <c r="CJ111" s="287"/>
      <c r="CK111" s="287"/>
      <c r="CL111" s="287"/>
      <c r="CM111" s="287"/>
      <c r="CN111" s="287"/>
      <c r="CO111" s="287"/>
      <c r="CP111" s="287"/>
      <c r="CQ111" s="287"/>
      <c r="CR111" s="287"/>
      <c r="CS111" s="302">
        <v>30</v>
      </c>
      <c r="CT111" s="6"/>
      <c r="CU111" s="6"/>
      <c r="CV111" s="6"/>
      <c r="CW111" s="6"/>
      <c r="CX111" s="6"/>
      <c r="CY111" s="6"/>
      <c r="CZ111" s="6"/>
      <c r="DA111" s="343">
        <f t="shared" si="5"/>
        <v>27.5</v>
      </c>
      <c r="DH111" s="238">
        <v>38</v>
      </c>
    </row>
    <row r="112" spans="1:112" ht="20" customHeight="1" x14ac:dyDescent="0.35">
      <c r="A112" s="290" t="s">
        <v>83</v>
      </c>
      <c r="B112" s="270" t="s">
        <v>745</v>
      </c>
      <c r="C112" s="270" t="s">
        <v>1591</v>
      </c>
      <c r="D112" s="270" t="s">
        <v>631</v>
      </c>
      <c r="E112" s="270" t="s">
        <v>335</v>
      </c>
      <c r="F112" s="270" t="s">
        <v>626</v>
      </c>
      <c r="G112" s="270" t="s">
        <v>39</v>
      </c>
      <c r="H112" s="298">
        <f>H110/1000*42*10</f>
        <v>1.9530000000000003</v>
      </c>
      <c r="I112" s="292">
        <v>30</v>
      </c>
      <c r="J112" s="292">
        <v>28</v>
      </c>
      <c r="K112" s="286"/>
      <c r="L112" s="286">
        <v>0</v>
      </c>
      <c r="M112" s="286"/>
      <c r="N112" s="286"/>
      <c r="O112" s="286">
        <v>25</v>
      </c>
      <c r="P112" s="292">
        <v>25</v>
      </c>
      <c r="Q112" s="286">
        <v>30</v>
      </c>
      <c r="R112" s="286">
        <v>25</v>
      </c>
      <c r="S112" s="286">
        <v>28</v>
      </c>
      <c r="T112" s="286">
        <v>28</v>
      </c>
      <c r="U112" s="286"/>
      <c r="V112" s="294"/>
      <c r="W112" s="286"/>
      <c r="X112" s="286"/>
      <c r="Y112" s="286"/>
      <c r="Z112" s="286">
        <v>25</v>
      </c>
      <c r="AA112" s="286"/>
      <c r="AB112" s="286"/>
      <c r="AC112" s="286">
        <v>25</v>
      </c>
      <c r="AD112" s="286"/>
      <c r="AE112" s="286"/>
      <c r="AF112" s="286"/>
      <c r="AG112" s="286"/>
      <c r="AH112" s="286"/>
      <c r="AI112" s="286"/>
      <c r="AJ112" s="286"/>
      <c r="AK112" s="295"/>
      <c r="AL112" s="288">
        <v>28</v>
      </c>
      <c r="AM112" s="287"/>
      <c r="AN112" s="287"/>
      <c r="AO112" s="286">
        <v>28</v>
      </c>
      <c r="AP112" s="286">
        <v>28</v>
      </c>
      <c r="AQ112" s="296"/>
      <c r="AR112" s="286">
        <v>28</v>
      </c>
      <c r="AS112" s="286"/>
      <c r="AT112" s="286">
        <v>28</v>
      </c>
      <c r="AU112" s="286">
        <v>28</v>
      </c>
      <c r="AV112" s="286">
        <v>28</v>
      </c>
      <c r="AW112" s="286">
        <v>28</v>
      </c>
      <c r="AX112" s="286">
        <v>28</v>
      </c>
      <c r="AY112" s="286">
        <v>28</v>
      </c>
      <c r="AZ112" s="286">
        <v>28</v>
      </c>
      <c r="BA112" s="286">
        <v>28</v>
      </c>
      <c r="BB112" s="286"/>
      <c r="BC112" s="286">
        <v>28</v>
      </c>
      <c r="BD112" s="287"/>
      <c r="BE112" s="287"/>
      <c r="BF112" s="287"/>
      <c r="BG112" s="289">
        <v>28</v>
      </c>
      <c r="BH112" s="287"/>
      <c r="BI112" s="287"/>
      <c r="BJ112" s="287"/>
      <c r="BK112" s="287">
        <v>30</v>
      </c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>
        <v>25</v>
      </c>
      <c r="BV112" s="287"/>
      <c r="BW112" s="287"/>
      <c r="BX112" s="286">
        <v>28</v>
      </c>
      <c r="BY112" s="289">
        <v>25</v>
      </c>
      <c r="BZ112" s="289">
        <v>27</v>
      </c>
      <c r="CA112" s="289"/>
      <c r="CB112" s="289"/>
      <c r="CC112" s="289"/>
      <c r="CD112" s="289"/>
      <c r="CE112" s="289"/>
      <c r="CF112" s="289"/>
      <c r="CG112" s="287"/>
      <c r="CH112" s="287"/>
      <c r="CI112" s="287"/>
      <c r="CJ112" s="287"/>
      <c r="CK112" s="287"/>
      <c r="CL112" s="287">
        <v>30</v>
      </c>
      <c r="CM112" s="292">
        <v>28</v>
      </c>
      <c r="CN112" s="287"/>
      <c r="CO112" s="292">
        <v>28</v>
      </c>
      <c r="CP112" s="287"/>
      <c r="CQ112" s="287">
        <v>30</v>
      </c>
      <c r="CR112" s="287"/>
      <c r="CS112" s="296">
        <v>30</v>
      </c>
      <c r="CT112" s="6"/>
      <c r="CU112" s="6"/>
      <c r="CV112" s="6"/>
      <c r="CW112" s="6"/>
      <c r="CX112" s="6"/>
      <c r="CY112" s="6"/>
      <c r="CZ112" s="6"/>
      <c r="DA112" s="343">
        <f>H112</f>
        <v>1.9530000000000003</v>
      </c>
      <c r="DH112" s="238">
        <v>34</v>
      </c>
    </row>
    <row r="113" spans="1:112" ht="20" customHeight="1" x14ac:dyDescent="0.35">
      <c r="A113" s="290" t="s">
        <v>2087</v>
      </c>
      <c r="B113" s="270" t="s">
        <v>745</v>
      </c>
      <c r="C113" s="270" t="s">
        <v>1591</v>
      </c>
      <c r="D113" s="270" t="s">
        <v>631</v>
      </c>
      <c r="E113" s="270" t="s">
        <v>335</v>
      </c>
      <c r="F113" s="270" t="s">
        <v>626</v>
      </c>
      <c r="G113" s="270" t="s">
        <v>39</v>
      </c>
      <c r="H113" s="298">
        <f>H111/1000*42*10</f>
        <v>11.55</v>
      </c>
      <c r="I113" s="292"/>
      <c r="J113" s="292"/>
      <c r="K113" s="286"/>
      <c r="L113" s="286"/>
      <c r="M113" s="286"/>
      <c r="N113" s="286"/>
      <c r="O113" s="286"/>
      <c r="P113" s="292"/>
      <c r="Q113" s="286"/>
      <c r="R113" s="286"/>
      <c r="S113" s="286"/>
      <c r="T113" s="286"/>
      <c r="U113" s="286"/>
      <c r="V113" s="294"/>
      <c r="W113" s="286"/>
      <c r="X113" s="286"/>
      <c r="Y113" s="286"/>
      <c r="Z113" s="286"/>
      <c r="AA113" s="286"/>
      <c r="AB113" s="286"/>
      <c r="AC113" s="286"/>
      <c r="AD113" s="286"/>
      <c r="AE113" s="286"/>
      <c r="AF113" s="286"/>
      <c r="AG113" s="286"/>
      <c r="AH113" s="286"/>
      <c r="AI113" s="286"/>
      <c r="AJ113" s="286"/>
      <c r="AK113" s="295"/>
      <c r="AL113" s="288"/>
      <c r="AM113" s="287"/>
      <c r="AN113" s="287"/>
      <c r="AO113" s="286"/>
      <c r="AP113" s="286"/>
      <c r="AQ113" s="296"/>
      <c r="AR113" s="286"/>
      <c r="AS113" s="286"/>
      <c r="AT113" s="286"/>
      <c r="AU113" s="286"/>
      <c r="AV113" s="286"/>
      <c r="AW113" s="286"/>
      <c r="AX113" s="286"/>
      <c r="AY113" s="286"/>
      <c r="AZ113" s="286"/>
      <c r="BA113" s="286"/>
      <c r="BB113" s="286"/>
      <c r="BC113" s="286"/>
      <c r="BD113" s="287"/>
      <c r="BE113" s="287"/>
      <c r="BF113" s="287"/>
      <c r="BG113" s="289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6"/>
      <c r="BY113" s="289"/>
      <c r="BZ113" s="289"/>
      <c r="CA113" s="289"/>
      <c r="CB113" s="289"/>
      <c r="CC113" s="289"/>
      <c r="CD113" s="289"/>
      <c r="CE113" s="289"/>
      <c r="CF113" s="289"/>
      <c r="CG113" s="287"/>
      <c r="CH113" s="287"/>
      <c r="CI113" s="287"/>
      <c r="CJ113" s="287"/>
      <c r="CK113" s="287"/>
      <c r="CL113" s="287"/>
      <c r="CM113" s="292"/>
      <c r="CN113" s="287"/>
      <c r="CO113" s="287"/>
      <c r="CP113" s="287"/>
      <c r="CQ113" s="287">
        <v>30</v>
      </c>
      <c r="CR113" s="287"/>
      <c r="CS113" s="296">
        <v>30</v>
      </c>
      <c r="CT113" s="6"/>
      <c r="CU113" s="6"/>
      <c r="CV113" s="6"/>
      <c r="CW113" s="6"/>
      <c r="CX113" s="6"/>
      <c r="CY113" s="6"/>
      <c r="CZ113" s="6"/>
      <c r="DA113" s="343">
        <f t="shared" si="5"/>
        <v>11.55</v>
      </c>
      <c r="DH113" s="238">
        <v>34</v>
      </c>
    </row>
    <row r="114" spans="1:112" ht="20" customHeight="1" x14ac:dyDescent="0.35">
      <c r="A114" s="290"/>
      <c r="B114" s="270" t="s">
        <v>746</v>
      </c>
      <c r="C114" s="270" t="s">
        <v>747</v>
      </c>
      <c r="D114" s="297" t="s">
        <v>631</v>
      </c>
      <c r="E114" s="270" t="s">
        <v>335</v>
      </c>
      <c r="F114" s="270" t="s">
        <v>377</v>
      </c>
      <c r="G114" s="270" t="s">
        <v>39</v>
      </c>
      <c r="H114" s="298">
        <f>H111/1000*30*10</f>
        <v>8.25</v>
      </c>
      <c r="I114" s="286"/>
      <c r="J114" s="292">
        <v>18</v>
      </c>
      <c r="K114" s="286"/>
      <c r="L114" s="286"/>
      <c r="M114" s="286"/>
      <c r="N114" s="286"/>
      <c r="O114" s="286"/>
      <c r="P114" s="292">
        <v>18</v>
      </c>
      <c r="Q114" s="286"/>
      <c r="R114" s="286"/>
      <c r="S114" s="286"/>
      <c r="T114" s="286"/>
      <c r="U114" s="286"/>
      <c r="V114" s="294"/>
      <c r="W114" s="286"/>
      <c r="X114" s="286"/>
      <c r="Y114" s="286"/>
      <c r="Z114" s="286"/>
      <c r="AA114" s="286"/>
      <c r="AB114" s="286"/>
      <c r="AC114" s="286"/>
      <c r="AD114" s="286"/>
      <c r="AE114" s="286"/>
      <c r="AF114" s="286"/>
      <c r="AG114" s="286"/>
      <c r="AH114" s="286"/>
      <c r="AI114" s="286"/>
      <c r="AJ114" s="286"/>
      <c r="AK114" s="287"/>
      <c r="AL114" s="288"/>
      <c r="AM114" s="287"/>
      <c r="AN114" s="287"/>
      <c r="AO114" s="287"/>
      <c r="AP114" s="286">
        <v>18</v>
      </c>
      <c r="AQ114" s="296"/>
      <c r="AR114" s="286">
        <v>18</v>
      </c>
      <c r="AS114" s="286"/>
      <c r="AT114" s="286">
        <v>18</v>
      </c>
      <c r="AU114" s="286"/>
      <c r="AV114" s="286">
        <v>18</v>
      </c>
      <c r="AW114" s="286">
        <v>18</v>
      </c>
      <c r="AX114" s="286">
        <v>18</v>
      </c>
      <c r="AY114" s="286">
        <v>18</v>
      </c>
      <c r="AZ114" s="286">
        <v>18</v>
      </c>
      <c r="BA114" s="286">
        <v>18</v>
      </c>
      <c r="BB114" s="286"/>
      <c r="BC114" s="286">
        <v>18</v>
      </c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6"/>
      <c r="BY114" s="289"/>
      <c r="BZ114" s="289"/>
      <c r="CA114" s="289"/>
      <c r="CB114" s="289"/>
      <c r="CC114" s="289"/>
      <c r="CD114" s="289"/>
      <c r="CE114" s="289"/>
      <c r="CF114" s="289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1">
        <v>11</v>
      </c>
      <c r="CT114" s="6"/>
      <c r="CU114" s="6"/>
      <c r="CV114" s="6"/>
      <c r="CW114" s="6"/>
      <c r="CX114" s="6"/>
      <c r="CY114" s="6"/>
      <c r="CZ114" s="6"/>
      <c r="DA114" s="343">
        <f t="shared" si="5"/>
        <v>8.25</v>
      </c>
      <c r="DH114" s="238">
        <v>37</v>
      </c>
    </row>
    <row r="115" spans="1:112" ht="20" customHeight="1" x14ac:dyDescent="0.35">
      <c r="A115" s="290"/>
      <c r="B115" s="270" t="s">
        <v>1311</v>
      </c>
      <c r="C115" s="270" t="s">
        <v>1591</v>
      </c>
      <c r="D115" s="270" t="s">
        <v>631</v>
      </c>
      <c r="E115" s="270" t="s">
        <v>335</v>
      </c>
      <c r="F115" s="270" t="s">
        <v>1312</v>
      </c>
      <c r="G115" s="270" t="s">
        <v>39</v>
      </c>
      <c r="H115" s="298">
        <f>H111/1000*42</f>
        <v>1.155</v>
      </c>
      <c r="I115" s="286"/>
      <c r="J115" s="286"/>
      <c r="K115" s="286"/>
      <c r="L115" s="286"/>
      <c r="M115" s="286"/>
      <c r="N115" s="286"/>
      <c r="O115" s="286"/>
      <c r="P115" s="292"/>
      <c r="Q115" s="286"/>
      <c r="R115" s="286"/>
      <c r="S115" s="286"/>
      <c r="T115" s="286"/>
      <c r="U115" s="286"/>
      <c r="V115" s="294"/>
      <c r="W115" s="286"/>
      <c r="X115" s="286"/>
      <c r="Y115" s="286"/>
      <c r="Z115" s="286"/>
      <c r="AA115" s="286"/>
      <c r="AB115" s="286"/>
      <c r="AC115" s="286"/>
      <c r="AD115" s="286">
        <v>2.8</v>
      </c>
      <c r="AE115" s="286"/>
      <c r="AF115" s="286"/>
      <c r="AG115" s="286"/>
      <c r="AH115" s="286"/>
      <c r="AI115" s="286"/>
      <c r="AJ115" s="286"/>
      <c r="AK115" s="287"/>
      <c r="AL115" s="288"/>
      <c r="AM115" s="287"/>
      <c r="AN115" s="287"/>
      <c r="AO115" s="287"/>
      <c r="AP115" s="286"/>
      <c r="AQ115" s="296"/>
      <c r="AR115" s="286"/>
      <c r="AS115" s="286"/>
      <c r="AT115" s="286"/>
      <c r="AU115" s="286"/>
      <c r="AV115" s="286"/>
      <c r="AW115" s="286"/>
      <c r="AX115" s="286"/>
      <c r="AY115" s="286"/>
      <c r="AZ115" s="286"/>
      <c r="BA115" s="286"/>
      <c r="BB115" s="286"/>
      <c r="BC115" s="286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6"/>
      <c r="BY115" s="289"/>
      <c r="BZ115" s="289"/>
      <c r="CA115" s="289"/>
      <c r="CB115" s="289"/>
      <c r="CC115" s="289"/>
      <c r="CD115" s="289"/>
      <c r="CE115" s="289"/>
      <c r="CF115" s="289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92">
        <v>30</v>
      </c>
      <c r="CT115" s="6"/>
      <c r="CU115" s="6"/>
      <c r="CV115" s="6"/>
      <c r="CW115" s="6"/>
      <c r="CX115" s="6"/>
      <c r="CY115" s="6"/>
      <c r="CZ115" s="6"/>
      <c r="DA115" s="343">
        <f t="shared" si="5"/>
        <v>1.155</v>
      </c>
      <c r="DH115" s="238">
        <v>8</v>
      </c>
    </row>
    <row r="116" spans="1:112" ht="20" customHeight="1" x14ac:dyDescent="0.35">
      <c r="A116" s="290"/>
      <c r="B116" s="270" t="s">
        <v>748</v>
      </c>
      <c r="C116" s="270" t="s">
        <v>1592</v>
      </c>
      <c r="D116" s="270"/>
      <c r="E116" s="270" t="s">
        <v>333</v>
      </c>
      <c r="F116" s="270" t="s">
        <v>32</v>
      </c>
      <c r="G116" s="270" t="s">
        <v>38</v>
      </c>
      <c r="H116" s="298">
        <v>35</v>
      </c>
      <c r="I116" s="286"/>
      <c r="J116" s="286"/>
      <c r="K116" s="286"/>
      <c r="L116" s="286"/>
      <c r="M116" s="286"/>
      <c r="N116" s="286"/>
      <c r="O116" s="286"/>
      <c r="P116" s="286"/>
      <c r="Q116" s="286"/>
      <c r="R116" s="286"/>
      <c r="S116" s="286"/>
      <c r="T116" s="286"/>
      <c r="U116" s="286"/>
      <c r="V116" s="294"/>
      <c r="W116" s="286"/>
      <c r="X116" s="286"/>
      <c r="Y116" s="286"/>
      <c r="Z116" s="286"/>
      <c r="AA116" s="286"/>
      <c r="AB116" s="286"/>
      <c r="AC116" s="286"/>
      <c r="AD116" s="286"/>
      <c r="AE116" s="286"/>
      <c r="AF116" s="286"/>
      <c r="AG116" s="286"/>
      <c r="AH116" s="286"/>
      <c r="AI116" s="286"/>
      <c r="AJ116" s="286"/>
      <c r="AK116" s="287"/>
      <c r="AL116" s="288"/>
      <c r="AM116" s="287"/>
      <c r="AN116" s="287"/>
      <c r="AO116" s="287"/>
      <c r="AP116" s="286"/>
      <c r="AQ116" s="296"/>
      <c r="AR116" s="286"/>
      <c r="AS116" s="286"/>
      <c r="AT116" s="286"/>
      <c r="AU116" s="286"/>
      <c r="AV116" s="286"/>
      <c r="AW116" s="286"/>
      <c r="AX116" s="286"/>
      <c r="AY116" s="286"/>
      <c r="AZ116" s="286"/>
      <c r="BA116" s="286"/>
      <c r="BB116" s="286"/>
      <c r="BC116" s="286"/>
      <c r="BD116" s="287"/>
      <c r="BE116" s="287"/>
      <c r="BF116" s="287"/>
      <c r="BG116" s="288">
        <v>45</v>
      </c>
      <c r="BH116" s="287"/>
      <c r="BI116" s="287"/>
      <c r="BJ116" s="287"/>
      <c r="BK116" s="287"/>
      <c r="BL116" s="287"/>
      <c r="BM116" s="287"/>
      <c r="BN116" s="287"/>
      <c r="BO116" s="287"/>
      <c r="BP116" s="287"/>
      <c r="BQ116" s="287"/>
      <c r="BR116" s="287"/>
      <c r="BS116" s="287"/>
      <c r="BT116" s="287"/>
      <c r="BU116" s="287"/>
      <c r="BV116" s="287"/>
      <c r="BW116" s="287"/>
      <c r="BX116" s="286"/>
      <c r="BY116" s="289"/>
      <c r="BZ116" s="289"/>
      <c r="CA116" s="289"/>
      <c r="CB116" s="289"/>
      <c r="CC116" s="289"/>
      <c r="CD116" s="289"/>
      <c r="CE116" s="289"/>
      <c r="CF116" s="289"/>
      <c r="CG116" s="287"/>
      <c r="CH116" s="287"/>
      <c r="CI116" s="287"/>
      <c r="CJ116" s="287"/>
      <c r="CK116" s="287"/>
      <c r="CL116" s="287"/>
      <c r="CM116" s="287"/>
      <c r="CN116" s="287"/>
      <c r="CO116" s="287"/>
      <c r="CP116" s="287"/>
      <c r="CQ116" s="287"/>
      <c r="CR116" s="287"/>
      <c r="CS116" s="303">
        <v>32</v>
      </c>
      <c r="CT116" s="6"/>
      <c r="CU116" s="6"/>
      <c r="CV116" s="6"/>
      <c r="CW116" s="6"/>
      <c r="CX116" s="6"/>
      <c r="CY116" s="6"/>
      <c r="CZ116" s="6"/>
      <c r="DA116" s="343">
        <f t="shared" si="5"/>
        <v>35</v>
      </c>
      <c r="DH116" s="238">
        <v>16</v>
      </c>
    </row>
    <row r="117" spans="1:112" ht="20" customHeight="1" x14ac:dyDescent="0.35">
      <c r="A117" s="290" t="s">
        <v>86</v>
      </c>
      <c r="B117" s="270" t="s">
        <v>749</v>
      </c>
      <c r="C117" s="270" t="s">
        <v>1592</v>
      </c>
      <c r="D117" s="297" t="s">
        <v>604</v>
      </c>
      <c r="E117" s="270" t="s">
        <v>333</v>
      </c>
      <c r="F117" s="270" t="s">
        <v>657</v>
      </c>
      <c r="G117" s="270" t="s">
        <v>39</v>
      </c>
      <c r="H117" s="298">
        <f>H116/1000*43*10</f>
        <v>15.05</v>
      </c>
      <c r="I117" s="292">
        <v>30</v>
      </c>
      <c r="J117" s="292">
        <v>30</v>
      </c>
      <c r="K117" s="286"/>
      <c r="L117" s="286">
        <v>0</v>
      </c>
      <c r="M117" s="286"/>
      <c r="N117" s="286"/>
      <c r="O117" s="286"/>
      <c r="P117" s="292">
        <v>30</v>
      </c>
      <c r="Q117" s="286">
        <v>30</v>
      </c>
      <c r="R117" s="286">
        <v>30</v>
      </c>
      <c r="S117" s="286">
        <v>30</v>
      </c>
      <c r="T117" s="286">
        <v>30</v>
      </c>
      <c r="U117" s="286"/>
      <c r="V117" s="294"/>
      <c r="W117" s="286"/>
      <c r="X117" s="286"/>
      <c r="Y117" s="286"/>
      <c r="Z117" s="286"/>
      <c r="AA117" s="286"/>
      <c r="AB117" s="286"/>
      <c r="AC117" s="286"/>
      <c r="AD117" s="286"/>
      <c r="AE117" s="286"/>
      <c r="AF117" s="286"/>
      <c r="AG117" s="286"/>
      <c r="AH117" s="286"/>
      <c r="AI117" s="286"/>
      <c r="AJ117" s="286"/>
      <c r="AK117" s="295"/>
      <c r="AL117" s="288"/>
      <c r="AM117" s="287"/>
      <c r="AN117" s="287"/>
      <c r="AO117" s="287"/>
      <c r="AP117" s="286">
        <v>30</v>
      </c>
      <c r="AQ117" s="296"/>
      <c r="AR117" s="286">
        <v>30</v>
      </c>
      <c r="AS117" s="286"/>
      <c r="AT117" s="286">
        <v>30</v>
      </c>
      <c r="AU117" s="286"/>
      <c r="AV117" s="286">
        <v>30</v>
      </c>
      <c r="AW117" s="286">
        <v>30</v>
      </c>
      <c r="AX117" s="286"/>
      <c r="AY117" s="286">
        <v>30</v>
      </c>
      <c r="AZ117" s="286">
        <v>30</v>
      </c>
      <c r="BA117" s="286">
        <v>30</v>
      </c>
      <c r="BB117" s="286"/>
      <c r="BC117" s="286">
        <v>30</v>
      </c>
      <c r="BD117" s="287"/>
      <c r="BE117" s="287"/>
      <c r="BF117" s="287"/>
      <c r="BG117" s="288">
        <v>30</v>
      </c>
      <c r="BH117" s="287"/>
      <c r="BI117" s="287"/>
      <c r="BJ117" s="287"/>
      <c r="BK117" s="287"/>
      <c r="BL117" s="287"/>
      <c r="BM117" s="287"/>
      <c r="BN117" s="287"/>
      <c r="BO117" s="287"/>
      <c r="BP117" s="287"/>
      <c r="BQ117" s="287"/>
      <c r="BR117" s="287"/>
      <c r="BS117" s="287"/>
      <c r="BT117" s="287"/>
      <c r="BU117" s="287">
        <v>32</v>
      </c>
      <c r="BV117" s="287"/>
      <c r="BW117" s="287"/>
      <c r="BX117" s="286"/>
      <c r="BY117" s="289"/>
      <c r="BZ117" s="289">
        <v>32</v>
      </c>
      <c r="CA117" s="289"/>
      <c r="CB117" s="289"/>
      <c r="CC117" s="289"/>
      <c r="CD117" s="289"/>
      <c r="CE117" s="289"/>
      <c r="CF117" s="289"/>
      <c r="CG117" s="287"/>
      <c r="CH117" s="287"/>
      <c r="CI117" s="287"/>
      <c r="CJ117" s="287"/>
      <c r="CK117" s="287"/>
      <c r="CL117" s="287">
        <v>35</v>
      </c>
      <c r="CM117" s="292">
        <v>30</v>
      </c>
      <c r="CN117" s="292">
        <v>30</v>
      </c>
      <c r="CO117" s="292">
        <v>30</v>
      </c>
      <c r="CP117" s="287"/>
      <c r="CQ117" s="287">
        <v>30</v>
      </c>
      <c r="CR117" s="287"/>
      <c r="CS117" s="296">
        <v>30</v>
      </c>
      <c r="CT117" s="6"/>
      <c r="CU117" s="6"/>
      <c r="CV117" s="6"/>
      <c r="CW117" s="6"/>
      <c r="CX117" s="6"/>
      <c r="CY117" s="6"/>
      <c r="CZ117" s="6"/>
      <c r="DA117" s="343">
        <f t="shared" si="5"/>
        <v>15.05</v>
      </c>
      <c r="DH117" s="238">
        <v>16</v>
      </c>
    </row>
    <row r="118" spans="1:112" ht="20" customHeight="1" x14ac:dyDescent="0.35">
      <c r="A118" s="290"/>
      <c r="B118" s="270" t="s">
        <v>750</v>
      </c>
      <c r="C118" s="270" t="s">
        <v>1592</v>
      </c>
      <c r="D118" s="297" t="s">
        <v>604</v>
      </c>
      <c r="E118" s="270" t="s">
        <v>97</v>
      </c>
      <c r="F118" s="270" t="s">
        <v>751</v>
      </c>
      <c r="G118" s="270" t="s">
        <v>33</v>
      </c>
      <c r="H118" s="298"/>
      <c r="I118" s="292"/>
      <c r="J118" s="286"/>
      <c r="K118" s="286"/>
      <c r="L118" s="286"/>
      <c r="M118" s="286"/>
      <c r="N118" s="286"/>
      <c r="O118" s="286"/>
      <c r="P118" s="286"/>
      <c r="Q118" s="286"/>
      <c r="R118" s="286"/>
      <c r="S118" s="286"/>
      <c r="T118" s="286"/>
      <c r="U118" s="286"/>
      <c r="V118" s="294"/>
      <c r="W118" s="286"/>
      <c r="X118" s="286"/>
      <c r="Y118" s="286"/>
      <c r="Z118" s="286"/>
      <c r="AA118" s="286"/>
      <c r="AB118" s="286"/>
      <c r="AC118" s="286"/>
      <c r="AD118" s="286"/>
      <c r="AE118" s="286"/>
      <c r="AF118" s="286"/>
      <c r="AG118" s="286"/>
      <c r="AH118" s="286"/>
      <c r="AI118" s="286"/>
      <c r="AJ118" s="286"/>
      <c r="AK118" s="287"/>
      <c r="AL118" s="288"/>
      <c r="AM118" s="287"/>
      <c r="AN118" s="287"/>
      <c r="AO118" s="287"/>
      <c r="AP118" s="286"/>
      <c r="AQ118" s="296"/>
      <c r="AR118" s="286"/>
      <c r="AS118" s="286"/>
      <c r="AT118" s="286"/>
      <c r="AU118" s="286"/>
      <c r="AV118" s="286"/>
      <c r="AW118" s="286"/>
      <c r="AX118" s="286"/>
      <c r="AY118" s="286"/>
      <c r="AZ118" s="286"/>
      <c r="BA118" s="286"/>
      <c r="BB118" s="286"/>
      <c r="BC118" s="286"/>
      <c r="BD118" s="287"/>
      <c r="BE118" s="287"/>
      <c r="BF118" s="287"/>
      <c r="BG118" s="287"/>
      <c r="BH118" s="287"/>
      <c r="BI118" s="287"/>
      <c r="BJ118" s="287"/>
      <c r="BK118" s="287"/>
      <c r="BL118" s="287"/>
      <c r="BM118" s="287"/>
      <c r="BN118" s="287"/>
      <c r="BO118" s="287"/>
      <c r="BP118" s="287"/>
      <c r="BQ118" s="287"/>
      <c r="BR118" s="287"/>
      <c r="BS118" s="287"/>
      <c r="BT118" s="287"/>
      <c r="BU118" s="287"/>
      <c r="BV118" s="287"/>
      <c r="BW118" s="287"/>
      <c r="BX118" s="286"/>
      <c r="BY118" s="289"/>
      <c r="BZ118" s="289"/>
      <c r="CA118" s="289"/>
      <c r="CB118" s="289"/>
      <c r="CC118" s="289"/>
      <c r="CD118" s="289"/>
      <c r="CE118" s="289"/>
      <c r="CF118" s="289"/>
      <c r="CG118" s="287"/>
      <c r="CH118" s="287"/>
      <c r="CI118" s="287"/>
      <c r="CJ118" s="287"/>
      <c r="CK118" s="287"/>
      <c r="CL118" s="287"/>
      <c r="CM118" s="287"/>
      <c r="CN118" s="287"/>
      <c r="CO118" s="287"/>
      <c r="CP118" s="287"/>
      <c r="CQ118" s="287"/>
      <c r="CR118" s="287"/>
      <c r="CS118" s="302">
        <v>0.9</v>
      </c>
      <c r="CT118" s="6"/>
      <c r="CU118" s="6"/>
      <c r="CV118" s="6"/>
      <c r="CW118" s="6"/>
      <c r="CX118" s="6"/>
      <c r="CY118" s="6"/>
      <c r="CZ118" s="6"/>
      <c r="DA118" s="343">
        <f t="shared" si="5"/>
        <v>0</v>
      </c>
      <c r="DH118" s="238">
        <v>30.5</v>
      </c>
    </row>
    <row r="119" spans="1:112" ht="20" customHeight="1" x14ac:dyDescent="0.35">
      <c r="A119" s="290"/>
      <c r="B119" s="270" t="s">
        <v>752</v>
      </c>
      <c r="C119" s="270" t="s">
        <v>1592</v>
      </c>
      <c r="D119" s="297" t="s">
        <v>604</v>
      </c>
      <c r="E119" s="270" t="s">
        <v>97</v>
      </c>
      <c r="F119" s="270" t="s">
        <v>408</v>
      </c>
      <c r="G119" s="270" t="s">
        <v>31</v>
      </c>
      <c r="H119" s="298">
        <v>9</v>
      </c>
      <c r="I119" s="292">
        <v>11</v>
      </c>
      <c r="J119" s="292">
        <v>11</v>
      </c>
      <c r="K119" s="286"/>
      <c r="L119" s="286">
        <v>0</v>
      </c>
      <c r="M119" s="286"/>
      <c r="N119" s="286"/>
      <c r="O119" s="286"/>
      <c r="P119" s="286"/>
      <c r="Q119" s="286"/>
      <c r="R119" s="286"/>
      <c r="S119" s="286"/>
      <c r="T119" s="286"/>
      <c r="U119" s="286"/>
      <c r="V119" s="294"/>
      <c r="W119" s="286"/>
      <c r="X119" s="286"/>
      <c r="Y119" s="286"/>
      <c r="Z119" s="286"/>
      <c r="AA119" s="286"/>
      <c r="AB119" s="286"/>
      <c r="AC119" s="286"/>
      <c r="AD119" s="286"/>
      <c r="AE119" s="286"/>
      <c r="AF119" s="286"/>
      <c r="AG119" s="286"/>
      <c r="AH119" s="286"/>
      <c r="AI119" s="286"/>
      <c r="AJ119" s="286"/>
      <c r="AK119" s="287"/>
      <c r="AL119" s="288"/>
      <c r="AM119" s="287">
        <v>11</v>
      </c>
      <c r="AN119" s="287"/>
      <c r="AO119" s="287">
        <v>11</v>
      </c>
      <c r="AP119" s="286">
        <v>11</v>
      </c>
      <c r="AQ119" s="296"/>
      <c r="AR119" s="286">
        <v>11</v>
      </c>
      <c r="AS119" s="286"/>
      <c r="AT119" s="286">
        <v>11</v>
      </c>
      <c r="AU119" s="286"/>
      <c r="AV119" s="286"/>
      <c r="AW119" s="286">
        <v>11</v>
      </c>
      <c r="AX119" s="286">
        <v>11</v>
      </c>
      <c r="AY119" s="286">
        <v>11</v>
      </c>
      <c r="AZ119" s="286">
        <v>11</v>
      </c>
      <c r="BA119" s="286">
        <v>11</v>
      </c>
      <c r="BB119" s="286">
        <v>11</v>
      </c>
      <c r="BC119" s="286">
        <v>11</v>
      </c>
      <c r="BD119" s="287"/>
      <c r="BE119" s="287"/>
      <c r="BF119" s="287"/>
      <c r="BG119" s="288">
        <v>11</v>
      </c>
      <c r="BH119" s="287"/>
      <c r="BI119" s="287"/>
      <c r="BJ119" s="287"/>
      <c r="BK119" s="287"/>
      <c r="BL119" s="287"/>
      <c r="BM119" s="287"/>
      <c r="BN119" s="287"/>
      <c r="BO119" s="287"/>
      <c r="BP119" s="287"/>
      <c r="BQ119" s="287"/>
      <c r="BR119" s="287"/>
      <c r="BS119" s="287"/>
      <c r="BT119" s="287"/>
      <c r="BU119" s="287"/>
      <c r="BV119" s="287"/>
      <c r="BW119" s="287"/>
      <c r="BX119" s="286"/>
      <c r="BY119" s="289"/>
      <c r="BZ119" s="289"/>
      <c r="CA119" s="289"/>
      <c r="CB119" s="289"/>
      <c r="CC119" s="289"/>
      <c r="CD119" s="289"/>
      <c r="CE119" s="289"/>
      <c r="CF119" s="289"/>
      <c r="CG119" s="287"/>
      <c r="CH119" s="287"/>
      <c r="CI119" s="287"/>
      <c r="CJ119" s="287"/>
      <c r="CK119" s="287"/>
      <c r="CL119" s="287"/>
      <c r="CM119" s="287"/>
      <c r="CN119" s="287"/>
      <c r="CO119" s="292">
        <v>11</v>
      </c>
      <c r="CP119" s="287"/>
      <c r="CQ119" s="287">
        <v>12</v>
      </c>
      <c r="CR119" s="287"/>
      <c r="CS119" s="296">
        <v>38</v>
      </c>
      <c r="CT119" s="6"/>
      <c r="CU119" s="6"/>
      <c r="CV119" s="6"/>
      <c r="CW119" s="6"/>
      <c r="CX119" s="6"/>
      <c r="CY119" s="6"/>
      <c r="CZ119" s="6"/>
      <c r="DA119" s="343">
        <f t="shared" si="5"/>
        <v>9</v>
      </c>
      <c r="DH119" s="238">
        <v>6.5</v>
      </c>
    </row>
    <row r="120" spans="1:112" ht="20" customHeight="1" x14ac:dyDescent="0.35">
      <c r="A120" s="290"/>
      <c r="B120" s="270" t="s">
        <v>753</v>
      </c>
      <c r="C120" s="270" t="s">
        <v>264</v>
      </c>
      <c r="D120" s="297" t="s">
        <v>630</v>
      </c>
      <c r="E120" s="270" t="s">
        <v>34</v>
      </c>
      <c r="F120" s="270" t="s">
        <v>32</v>
      </c>
      <c r="G120" s="270" t="s">
        <v>35</v>
      </c>
      <c r="H120" s="298">
        <f>230/10</f>
        <v>23</v>
      </c>
      <c r="I120" s="292">
        <v>30</v>
      </c>
      <c r="J120" s="286"/>
      <c r="K120" s="286"/>
      <c r="L120" s="286"/>
      <c r="M120" s="286"/>
      <c r="N120" s="286"/>
      <c r="O120" s="286"/>
      <c r="P120" s="286"/>
      <c r="Q120" s="286"/>
      <c r="R120" s="286"/>
      <c r="S120" s="286"/>
      <c r="T120" s="286"/>
      <c r="U120" s="286"/>
      <c r="V120" s="286"/>
      <c r="W120" s="286"/>
      <c r="X120" s="286"/>
      <c r="Y120" s="286"/>
      <c r="Z120" s="286"/>
      <c r="AA120" s="286"/>
      <c r="AB120" s="286"/>
      <c r="AC120" s="286">
        <v>30</v>
      </c>
      <c r="AD120" s="286"/>
      <c r="AE120" s="286"/>
      <c r="AF120" s="286"/>
      <c r="AG120" s="286"/>
      <c r="AH120" s="286"/>
      <c r="AI120" s="286"/>
      <c r="AJ120" s="286"/>
      <c r="AK120" s="287"/>
      <c r="AL120" s="288"/>
      <c r="AM120" s="287"/>
      <c r="AN120" s="287"/>
      <c r="AO120" s="287"/>
      <c r="AP120" s="286"/>
      <c r="AQ120" s="296"/>
      <c r="AR120" s="286"/>
      <c r="AS120" s="286"/>
      <c r="AT120" s="286"/>
      <c r="AU120" s="286"/>
      <c r="AV120" s="286"/>
      <c r="AW120" s="286"/>
      <c r="AX120" s="286"/>
      <c r="AY120" s="286"/>
      <c r="AZ120" s="286"/>
      <c r="BA120" s="286"/>
      <c r="BB120" s="286"/>
      <c r="BC120" s="286"/>
      <c r="BD120" s="287"/>
      <c r="BE120" s="287"/>
      <c r="BF120" s="287"/>
      <c r="BG120" s="288">
        <v>32</v>
      </c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6"/>
      <c r="BY120" s="289"/>
      <c r="BZ120" s="289">
        <v>31</v>
      </c>
      <c r="CA120" s="289"/>
      <c r="CB120" s="289"/>
      <c r="CC120" s="289"/>
      <c r="CD120" s="289"/>
      <c r="CE120" s="289"/>
      <c r="CF120" s="289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>
        <v>30</v>
      </c>
      <c r="CR120" s="287"/>
      <c r="CS120" s="296">
        <v>14</v>
      </c>
      <c r="CT120" s="6"/>
      <c r="CU120" s="6"/>
      <c r="CV120" s="6"/>
      <c r="CW120" s="6"/>
      <c r="CX120" s="6"/>
      <c r="CY120" s="6"/>
      <c r="CZ120" s="6"/>
      <c r="DA120" s="343">
        <f t="shared" si="5"/>
        <v>23</v>
      </c>
      <c r="DH120" s="238">
        <v>33</v>
      </c>
    </row>
    <row r="121" spans="1:112" ht="20" customHeight="1" x14ac:dyDescent="0.35">
      <c r="A121" s="290"/>
      <c r="B121" s="270" t="s">
        <v>754</v>
      </c>
      <c r="C121" s="270" t="s">
        <v>376</v>
      </c>
      <c r="D121" s="297" t="s">
        <v>604</v>
      </c>
      <c r="E121" s="270" t="s">
        <v>34</v>
      </c>
      <c r="F121" s="270" t="s">
        <v>1486</v>
      </c>
      <c r="G121" s="270" t="s">
        <v>39</v>
      </c>
      <c r="H121" s="298">
        <f>2.8*5</f>
        <v>14</v>
      </c>
      <c r="I121" s="292"/>
      <c r="J121" s="286"/>
      <c r="K121" s="286"/>
      <c r="L121" s="286"/>
      <c r="M121" s="286"/>
      <c r="N121" s="286"/>
      <c r="O121" s="286"/>
      <c r="P121" s="286">
        <v>20</v>
      </c>
      <c r="Q121" s="286"/>
      <c r="R121" s="286"/>
      <c r="S121" s="286"/>
      <c r="T121" s="286"/>
      <c r="U121" s="286"/>
      <c r="V121" s="294"/>
      <c r="W121" s="286"/>
      <c r="X121" s="286"/>
      <c r="Y121" s="286"/>
      <c r="Z121" s="286"/>
      <c r="AA121" s="286"/>
      <c r="AB121" s="286"/>
      <c r="AC121" s="286"/>
      <c r="AD121" s="286"/>
      <c r="AE121" s="286"/>
      <c r="AF121" s="286"/>
      <c r="AG121" s="286"/>
      <c r="AH121" s="286"/>
      <c r="AI121" s="286"/>
      <c r="AJ121" s="286"/>
      <c r="AK121" s="287"/>
      <c r="AL121" s="288"/>
      <c r="AM121" s="287"/>
      <c r="AN121" s="287"/>
      <c r="AO121" s="287"/>
      <c r="AP121" s="286"/>
      <c r="AQ121" s="296"/>
      <c r="AR121" s="286"/>
      <c r="AS121" s="286"/>
      <c r="AT121" s="286"/>
      <c r="AU121" s="286"/>
      <c r="AV121" s="286"/>
      <c r="AW121" s="286"/>
      <c r="AX121" s="286"/>
      <c r="AY121" s="286"/>
      <c r="AZ121" s="286"/>
      <c r="BA121" s="286"/>
      <c r="BB121" s="286"/>
      <c r="BC121" s="286"/>
      <c r="BD121" s="287"/>
      <c r="BE121" s="287"/>
      <c r="BF121" s="287"/>
      <c r="BG121" s="288">
        <v>20</v>
      </c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6"/>
      <c r="BY121" s="289"/>
      <c r="BZ121" s="289"/>
      <c r="CA121" s="289"/>
      <c r="CB121" s="289"/>
      <c r="CC121" s="289"/>
      <c r="CD121" s="289"/>
      <c r="CE121" s="289"/>
      <c r="CF121" s="289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1">
        <v>13</v>
      </c>
      <c r="CT121" s="6"/>
      <c r="CU121" s="6"/>
      <c r="CV121" s="6"/>
      <c r="CW121" s="6"/>
      <c r="CX121" s="6"/>
      <c r="CY121" s="6"/>
      <c r="CZ121" s="6"/>
      <c r="DA121" s="343">
        <f t="shared" si="5"/>
        <v>14</v>
      </c>
      <c r="DH121" s="238">
        <v>45</v>
      </c>
    </row>
    <row r="122" spans="1:112" ht="20" customHeight="1" x14ac:dyDescent="0.35">
      <c r="A122" s="290" t="s">
        <v>755</v>
      </c>
      <c r="B122" s="270" t="s">
        <v>756</v>
      </c>
      <c r="C122" s="270" t="s">
        <v>376</v>
      </c>
      <c r="D122" s="297" t="s">
        <v>604</v>
      </c>
      <c r="E122" s="270" t="s">
        <v>34</v>
      </c>
      <c r="F122" s="270" t="s">
        <v>757</v>
      </c>
      <c r="G122" s="270" t="s">
        <v>39</v>
      </c>
      <c r="H122" s="298"/>
      <c r="I122" s="292"/>
      <c r="J122" s="286"/>
      <c r="K122" s="286"/>
      <c r="L122" s="286"/>
      <c r="M122" s="286"/>
      <c r="N122" s="286"/>
      <c r="O122" s="286"/>
      <c r="P122" s="292"/>
      <c r="Q122" s="286"/>
      <c r="R122" s="286"/>
      <c r="S122" s="286"/>
      <c r="T122" s="286"/>
      <c r="U122" s="286"/>
      <c r="V122" s="294"/>
      <c r="W122" s="286"/>
      <c r="X122" s="286"/>
      <c r="Y122" s="286"/>
      <c r="Z122" s="286"/>
      <c r="AA122" s="286"/>
      <c r="AB122" s="286"/>
      <c r="AC122" s="286"/>
      <c r="AD122" s="286"/>
      <c r="AE122" s="286"/>
      <c r="AF122" s="286"/>
      <c r="AG122" s="286"/>
      <c r="AH122" s="286"/>
      <c r="AI122" s="286"/>
      <c r="AJ122" s="286"/>
      <c r="AK122" s="287"/>
      <c r="AL122" s="288"/>
      <c r="AM122" s="287"/>
      <c r="AN122" s="287"/>
      <c r="AO122" s="287"/>
      <c r="AP122" s="286"/>
      <c r="AQ122" s="296"/>
      <c r="AR122" s="286"/>
      <c r="AS122" s="286"/>
      <c r="AT122" s="286"/>
      <c r="AU122" s="286"/>
      <c r="AV122" s="286"/>
      <c r="AW122" s="286"/>
      <c r="AX122" s="286"/>
      <c r="AY122" s="286"/>
      <c r="AZ122" s="286"/>
      <c r="BA122" s="286"/>
      <c r="BB122" s="286"/>
      <c r="BC122" s="286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6"/>
      <c r="BY122" s="289"/>
      <c r="BZ122" s="289"/>
      <c r="CA122" s="289"/>
      <c r="CB122" s="289"/>
      <c r="CC122" s="289"/>
      <c r="CD122" s="289"/>
      <c r="CE122" s="289"/>
      <c r="CF122" s="289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92">
        <v>22</v>
      </c>
      <c r="CT122" s="6"/>
      <c r="CU122" s="6"/>
      <c r="CV122" s="6"/>
      <c r="CW122" s="6"/>
      <c r="CX122" s="6"/>
      <c r="CY122" s="6"/>
      <c r="CZ122" s="6"/>
      <c r="DA122" s="343">
        <f t="shared" si="5"/>
        <v>0</v>
      </c>
      <c r="DH122" s="238">
        <v>8</v>
      </c>
    </row>
    <row r="123" spans="1:112" ht="20" customHeight="1" x14ac:dyDescent="0.35">
      <c r="A123" s="290"/>
      <c r="B123" s="270" t="s">
        <v>758</v>
      </c>
      <c r="C123" s="270" t="s">
        <v>376</v>
      </c>
      <c r="D123" s="297" t="s">
        <v>604</v>
      </c>
      <c r="E123" s="270" t="s">
        <v>34</v>
      </c>
      <c r="F123" s="270" t="s">
        <v>759</v>
      </c>
      <c r="G123" s="270" t="s">
        <v>44</v>
      </c>
      <c r="H123" s="298"/>
      <c r="I123" s="292"/>
      <c r="J123" s="286"/>
      <c r="K123" s="286"/>
      <c r="L123" s="286"/>
      <c r="M123" s="286"/>
      <c r="N123" s="286"/>
      <c r="O123" s="286"/>
      <c r="P123" s="286"/>
      <c r="Q123" s="286"/>
      <c r="R123" s="286"/>
      <c r="S123" s="286"/>
      <c r="T123" s="286"/>
      <c r="U123" s="286"/>
      <c r="V123" s="294"/>
      <c r="W123" s="286"/>
      <c r="X123" s="286"/>
      <c r="Y123" s="286"/>
      <c r="Z123" s="286"/>
      <c r="AA123" s="286"/>
      <c r="AB123" s="286"/>
      <c r="AC123" s="286"/>
      <c r="AD123" s="286"/>
      <c r="AE123" s="286"/>
      <c r="AF123" s="286"/>
      <c r="AG123" s="286"/>
      <c r="AH123" s="286"/>
      <c r="AI123" s="286"/>
      <c r="AJ123" s="286"/>
      <c r="AK123" s="287"/>
      <c r="AL123" s="288"/>
      <c r="AM123" s="287"/>
      <c r="AN123" s="287"/>
      <c r="AO123" s="287"/>
      <c r="AP123" s="286"/>
      <c r="AQ123" s="296"/>
      <c r="AR123" s="286"/>
      <c r="AS123" s="286"/>
      <c r="AT123" s="286"/>
      <c r="AU123" s="286"/>
      <c r="AV123" s="286"/>
      <c r="AW123" s="286"/>
      <c r="AX123" s="286"/>
      <c r="AY123" s="286"/>
      <c r="AZ123" s="286"/>
      <c r="BA123" s="286"/>
      <c r="BB123" s="286"/>
      <c r="BC123" s="286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6"/>
      <c r="BY123" s="289"/>
      <c r="BZ123" s="289"/>
      <c r="CA123" s="289"/>
      <c r="CB123" s="289"/>
      <c r="CC123" s="289"/>
      <c r="CD123" s="289"/>
      <c r="CE123" s="289"/>
      <c r="CF123" s="289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6">
        <v>32</v>
      </c>
      <c r="CT123" s="6"/>
      <c r="CU123" s="6"/>
      <c r="CV123" s="6"/>
      <c r="CW123" s="6"/>
      <c r="CX123" s="6"/>
      <c r="CY123" s="6"/>
      <c r="CZ123" s="6"/>
      <c r="DA123" s="343">
        <f t="shared" si="5"/>
        <v>0</v>
      </c>
      <c r="DH123" s="238">
        <v>2</v>
      </c>
    </row>
    <row r="124" spans="1:112" ht="20" customHeight="1" x14ac:dyDescent="0.35">
      <c r="A124" s="301"/>
      <c r="B124" s="270" t="s">
        <v>760</v>
      </c>
      <c r="C124" s="270" t="s">
        <v>1593</v>
      </c>
      <c r="D124" s="270"/>
      <c r="E124" s="270" t="s">
        <v>336</v>
      </c>
      <c r="F124" s="270" t="s">
        <v>32</v>
      </c>
      <c r="G124" s="270" t="s">
        <v>39</v>
      </c>
      <c r="H124" s="298">
        <v>15</v>
      </c>
      <c r="I124" s="286">
        <v>0</v>
      </c>
      <c r="J124" s="286"/>
      <c r="K124" s="286"/>
      <c r="L124" s="286"/>
      <c r="M124" s="286"/>
      <c r="N124" s="292">
        <v>40</v>
      </c>
      <c r="O124" s="286">
        <v>40</v>
      </c>
      <c r="P124" s="286"/>
      <c r="Q124" s="286"/>
      <c r="R124" s="286"/>
      <c r="S124" s="286"/>
      <c r="T124" s="286"/>
      <c r="U124" s="286"/>
      <c r="V124" s="294"/>
      <c r="W124" s="286"/>
      <c r="X124" s="286"/>
      <c r="Y124" s="286"/>
      <c r="Z124" s="286"/>
      <c r="AA124" s="286"/>
      <c r="AB124" s="286"/>
      <c r="AC124" s="286"/>
      <c r="AD124" s="286"/>
      <c r="AE124" s="286"/>
      <c r="AF124" s="286"/>
      <c r="AG124" s="286"/>
      <c r="AH124" s="286"/>
      <c r="AI124" s="286"/>
      <c r="AJ124" s="286"/>
      <c r="AK124" s="287"/>
      <c r="AL124" s="288"/>
      <c r="AM124" s="287"/>
      <c r="AN124" s="287"/>
      <c r="AO124" s="287"/>
      <c r="AP124" s="286"/>
      <c r="AQ124" s="296"/>
      <c r="AR124" s="286"/>
      <c r="AS124" s="286"/>
      <c r="AT124" s="28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7"/>
      <c r="BE124" s="287"/>
      <c r="BF124" s="287"/>
      <c r="BG124" s="288">
        <v>40</v>
      </c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6"/>
      <c r="BY124" s="289"/>
      <c r="BZ124" s="289"/>
      <c r="CA124" s="289"/>
      <c r="CB124" s="289"/>
      <c r="CC124" s="289"/>
      <c r="CD124" s="289"/>
      <c r="CE124" s="289"/>
      <c r="CF124" s="289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9">
        <v>0.95</v>
      </c>
      <c r="CT124" s="6"/>
      <c r="CU124" s="6"/>
      <c r="CV124" s="6"/>
      <c r="CW124" s="6"/>
      <c r="CX124" s="6"/>
      <c r="CY124" s="6"/>
      <c r="CZ124" s="6"/>
      <c r="DA124" s="343">
        <f t="shared" si="5"/>
        <v>15</v>
      </c>
      <c r="DH124" s="238">
        <v>2.5</v>
      </c>
    </row>
    <row r="125" spans="1:112" ht="20" customHeight="1" x14ac:dyDescent="0.35">
      <c r="A125" s="301"/>
      <c r="B125" s="270" t="s">
        <v>761</v>
      </c>
      <c r="C125" s="270" t="s">
        <v>1593</v>
      </c>
      <c r="D125" s="270"/>
      <c r="E125" s="270" t="s">
        <v>336</v>
      </c>
      <c r="F125" s="270" t="s">
        <v>658</v>
      </c>
      <c r="G125" s="270" t="s">
        <v>39</v>
      </c>
      <c r="H125" s="298">
        <f>H124/1000*80*10</f>
        <v>12</v>
      </c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94"/>
      <c r="W125" s="286"/>
      <c r="X125" s="286"/>
      <c r="Y125" s="286"/>
      <c r="Z125" s="286"/>
      <c r="AA125" s="286"/>
      <c r="AB125" s="286"/>
      <c r="AC125" s="286"/>
      <c r="AD125" s="286"/>
      <c r="AE125" s="286"/>
      <c r="AF125" s="286"/>
      <c r="AG125" s="286"/>
      <c r="AH125" s="286"/>
      <c r="AI125" s="286"/>
      <c r="AJ125" s="286"/>
      <c r="AK125" s="287"/>
      <c r="AL125" s="288"/>
      <c r="AM125" s="287"/>
      <c r="AN125" s="287"/>
      <c r="AO125" s="287"/>
      <c r="AP125" s="286"/>
      <c r="AQ125" s="296"/>
      <c r="AR125" s="286"/>
      <c r="AS125" s="286"/>
      <c r="AT125" s="286"/>
      <c r="AU125" s="286"/>
      <c r="AV125" s="286"/>
      <c r="AW125" s="286"/>
      <c r="AX125" s="286"/>
      <c r="AY125" s="286"/>
      <c r="AZ125" s="286"/>
      <c r="BA125" s="286"/>
      <c r="BB125" s="286"/>
      <c r="BC125" s="286"/>
      <c r="BD125" s="287"/>
      <c r="BE125" s="287"/>
      <c r="BF125" s="287"/>
      <c r="BG125" s="288">
        <v>28</v>
      </c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6"/>
      <c r="BY125" s="289"/>
      <c r="BZ125" s="289">
        <v>25</v>
      </c>
      <c r="CA125" s="289"/>
      <c r="CB125" s="289"/>
      <c r="CC125" s="289"/>
      <c r="CD125" s="289"/>
      <c r="CE125" s="289"/>
      <c r="CF125" s="289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6">
        <v>15</v>
      </c>
      <c r="CT125" s="6"/>
      <c r="CU125" s="6"/>
      <c r="CV125" s="6"/>
      <c r="CW125" s="6"/>
      <c r="CX125" s="6"/>
      <c r="CY125" s="6"/>
      <c r="CZ125" s="6"/>
      <c r="DA125" s="343">
        <f t="shared" si="5"/>
        <v>12</v>
      </c>
      <c r="DH125" s="238">
        <v>5.5</v>
      </c>
    </row>
    <row r="126" spans="1:112" ht="20" customHeight="1" x14ac:dyDescent="0.35">
      <c r="A126" s="301"/>
      <c r="B126" s="270" t="s">
        <v>762</v>
      </c>
      <c r="C126" s="270" t="s">
        <v>1593</v>
      </c>
      <c r="D126" s="270"/>
      <c r="E126" s="270" t="s">
        <v>336</v>
      </c>
      <c r="F126" s="270" t="s">
        <v>659</v>
      </c>
      <c r="G126" s="270" t="s">
        <v>39</v>
      </c>
      <c r="H126" s="298">
        <f>H124/1000*140*10</f>
        <v>21</v>
      </c>
      <c r="I126" s="286"/>
      <c r="J126" s="286"/>
      <c r="K126" s="286"/>
      <c r="L126" s="286"/>
      <c r="M126" s="286"/>
      <c r="N126" s="286"/>
      <c r="O126" s="286"/>
      <c r="P126" s="286">
        <v>40</v>
      </c>
      <c r="Q126" s="286"/>
      <c r="R126" s="286"/>
      <c r="S126" s="286"/>
      <c r="T126" s="286"/>
      <c r="U126" s="286"/>
      <c r="V126" s="294"/>
      <c r="W126" s="286"/>
      <c r="X126" s="286"/>
      <c r="Y126" s="286"/>
      <c r="Z126" s="286"/>
      <c r="AA126" s="286"/>
      <c r="AB126" s="286"/>
      <c r="AC126" s="286"/>
      <c r="AD126" s="286"/>
      <c r="AE126" s="286"/>
      <c r="AF126" s="286"/>
      <c r="AG126" s="286"/>
      <c r="AH126" s="286"/>
      <c r="AI126" s="286"/>
      <c r="AJ126" s="286"/>
      <c r="AK126" s="287"/>
      <c r="AL126" s="288"/>
      <c r="AM126" s="287"/>
      <c r="AN126" s="287"/>
      <c r="AO126" s="287"/>
      <c r="AP126" s="286"/>
      <c r="AQ126" s="296"/>
      <c r="AR126" s="286"/>
      <c r="AS126" s="286"/>
      <c r="AT126" s="28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>
        <v>30</v>
      </c>
      <c r="BV126" s="287"/>
      <c r="BW126" s="287"/>
      <c r="BX126" s="286"/>
      <c r="BY126" s="289"/>
      <c r="BZ126" s="289"/>
      <c r="CA126" s="289"/>
      <c r="CB126" s="289"/>
      <c r="CC126" s="289"/>
      <c r="CD126" s="289"/>
      <c r="CE126" s="289"/>
      <c r="CF126" s="289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92">
        <v>10</v>
      </c>
      <c r="CT126" s="6"/>
      <c r="CU126" s="6"/>
      <c r="CV126" s="6"/>
      <c r="CW126" s="6"/>
      <c r="CX126" s="6"/>
      <c r="CY126" s="6"/>
      <c r="CZ126" s="6"/>
      <c r="DA126" s="343">
        <f t="shared" si="5"/>
        <v>21</v>
      </c>
      <c r="DH126" s="238">
        <v>2</v>
      </c>
    </row>
    <row r="127" spans="1:112" ht="20" customHeight="1" x14ac:dyDescent="0.35">
      <c r="A127" s="301"/>
      <c r="B127" s="270" t="s">
        <v>1230</v>
      </c>
      <c r="C127" s="270" t="s">
        <v>1593</v>
      </c>
      <c r="D127" s="270"/>
      <c r="E127" s="270" t="s">
        <v>336</v>
      </c>
      <c r="F127" s="270" t="s">
        <v>1231</v>
      </c>
      <c r="G127" s="270"/>
      <c r="H127" s="298">
        <f>H124/1000*35*10</f>
        <v>5.25</v>
      </c>
      <c r="I127" s="286"/>
      <c r="J127" s="286"/>
      <c r="K127" s="286"/>
      <c r="L127" s="286"/>
      <c r="M127" s="286"/>
      <c r="N127" s="286"/>
      <c r="O127" s="286"/>
      <c r="P127" s="286"/>
      <c r="Q127" s="286"/>
      <c r="R127" s="286"/>
      <c r="S127" s="286"/>
      <c r="T127" s="286"/>
      <c r="U127" s="286"/>
      <c r="V127" s="294"/>
      <c r="W127" s="286"/>
      <c r="X127" s="286"/>
      <c r="Y127" s="286"/>
      <c r="Z127" s="286"/>
      <c r="AA127" s="286"/>
      <c r="AB127" s="286"/>
      <c r="AC127" s="286"/>
      <c r="AD127" s="286"/>
      <c r="AE127" s="286"/>
      <c r="AF127" s="286"/>
      <c r="AG127" s="286"/>
      <c r="AH127" s="286"/>
      <c r="AI127" s="286"/>
      <c r="AJ127" s="286"/>
      <c r="AK127" s="287"/>
      <c r="AL127" s="288"/>
      <c r="AM127" s="287"/>
      <c r="AN127" s="287"/>
      <c r="AO127" s="287"/>
      <c r="AP127" s="286"/>
      <c r="AQ127" s="296"/>
      <c r="AR127" s="286"/>
      <c r="AS127" s="286"/>
      <c r="AT127" s="286"/>
      <c r="AU127" s="286"/>
      <c r="AV127" s="286"/>
      <c r="AW127" s="286"/>
      <c r="AX127" s="286"/>
      <c r="AY127" s="286"/>
      <c r="AZ127" s="286"/>
      <c r="BA127" s="286"/>
      <c r="BB127" s="286"/>
      <c r="BC127" s="286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6"/>
      <c r="BY127" s="289"/>
      <c r="BZ127" s="289"/>
      <c r="CA127" s="289"/>
      <c r="CB127" s="289"/>
      <c r="CC127" s="289"/>
      <c r="CD127" s="289"/>
      <c r="CE127" s="289"/>
      <c r="CF127" s="289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92">
        <v>4.5</v>
      </c>
      <c r="CT127" s="6"/>
      <c r="CU127" s="6"/>
      <c r="CV127" s="6"/>
      <c r="CW127" s="6"/>
      <c r="CX127" s="6"/>
      <c r="CY127" s="6"/>
      <c r="CZ127" s="6"/>
      <c r="DA127" s="343">
        <f t="shared" si="5"/>
        <v>5.25</v>
      </c>
      <c r="DH127" s="238">
        <v>3.5</v>
      </c>
    </row>
    <row r="128" spans="1:112" ht="20" customHeight="1" x14ac:dyDescent="0.35">
      <c r="A128" s="301"/>
      <c r="B128" s="306" t="s">
        <v>1642</v>
      </c>
      <c r="C128" s="270" t="s">
        <v>1643</v>
      </c>
      <c r="D128" s="270"/>
      <c r="E128" s="270" t="s">
        <v>34</v>
      </c>
      <c r="F128" s="270" t="s">
        <v>32</v>
      </c>
      <c r="G128" s="270" t="s">
        <v>1644</v>
      </c>
      <c r="H128" s="298"/>
      <c r="I128" s="286"/>
      <c r="J128" s="286"/>
      <c r="K128" s="286"/>
      <c r="L128" s="286"/>
      <c r="M128" s="286"/>
      <c r="N128" s="286"/>
      <c r="O128" s="286"/>
      <c r="P128" s="286"/>
      <c r="Q128" s="286"/>
      <c r="R128" s="286"/>
      <c r="S128" s="286"/>
      <c r="T128" s="286"/>
      <c r="U128" s="286"/>
      <c r="V128" s="294"/>
      <c r="W128" s="286"/>
      <c r="X128" s="286"/>
      <c r="Y128" s="286"/>
      <c r="Z128" s="286"/>
      <c r="AA128" s="286"/>
      <c r="AB128" s="286"/>
      <c r="AC128" s="286"/>
      <c r="AD128" s="286"/>
      <c r="AE128" s="286"/>
      <c r="AF128" s="286"/>
      <c r="AG128" s="286"/>
      <c r="AH128" s="286"/>
      <c r="AI128" s="286"/>
      <c r="AJ128" s="286"/>
      <c r="AK128" s="287"/>
      <c r="AL128" s="288"/>
      <c r="AM128" s="287"/>
      <c r="AN128" s="287"/>
      <c r="AO128" s="287"/>
      <c r="AP128" s="286"/>
      <c r="AQ128" s="296"/>
      <c r="AR128" s="286"/>
      <c r="AS128" s="286"/>
      <c r="AT128" s="28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7"/>
      <c r="BE128" s="287"/>
      <c r="BF128" s="287"/>
      <c r="BG128" s="287"/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  <c r="BU128" s="287"/>
      <c r="BV128" s="287"/>
      <c r="BW128" s="287"/>
      <c r="BX128" s="286"/>
      <c r="BY128" s="289"/>
      <c r="BZ128" s="289"/>
      <c r="CA128" s="289"/>
      <c r="CB128" s="289"/>
      <c r="CC128" s="289"/>
      <c r="CD128" s="289"/>
      <c r="CE128" s="289"/>
      <c r="CF128" s="289"/>
      <c r="CG128" s="287"/>
      <c r="CH128" s="287"/>
      <c r="CI128" s="287"/>
      <c r="CJ128" s="287"/>
      <c r="CK128" s="287"/>
      <c r="CL128" s="287"/>
      <c r="CM128" s="287"/>
      <c r="CN128" s="287"/>
      <c r="CO128" s="287"/>
      <c r="CP128" s="287"/>
      <c r="CQ128" s="287"/>
      <c r="CR128" s="287"/>
      <c r="CS128" s="292"/>
      <c r="CT128" s="6"/>
      <c r="CU128" s="6"/>
      <c r="CV128" s="6"/>
      <c r="CW128" s="6"/>
      <c r="CX128" s="6"/>
      <c r="CY128" s="6"/>
      <c r="CZ128" s="6"/>
      <c r="DA128" s="343">
        <f t="shared" si="5"/>
        <v>0</v>
      </c>
      <c r="DH128" s="238"/>
    </row>
    <row r="129" spans="1:112" ht="20" customHeight="1" x14ac:dyDescent="0.35">
      <c r="A129" s="301"/>
      <c r="B129" s="270" t="s">
        <v>2022</v>
      </c>
      <c r="C129" s="270" t="s">
        <v>2023</v>
      </c>
      <c r="D129" s="270"/>
      <c r="E129" s="270" t="s">
        <v>336</v>
      </c>
      <c r="F129" s="270" t="s">
        <v>2024</v>
      </c>
      <c r="G129" s="270" t="s">
        <v>1644</v>
      </c>
      <c r="H129" s="298"/>
      <c r="I129" s="286"/>
      <c r="J129" s="286"/>
      <c r="K129" s="286"/>
      <c r="L129" s="286"/>
      <c r="M129" s="286"/>
      <c r="N129" s="286"/>
      <c r="O129" s="286"/>
      <c r="P129" s="286"/>
      <c r="Q129" s="286">
        <v>35</v>
      </c>
      <c r="R129" s="286"/>
      <c r="S129" s="286"/>
      <c r="T129" s="286"/>
      <c r="U129" s="286"/>
      <c r="V129" s="294"/>
      <c r="W129" s="286"/>
      <c r="X129" s="286"/>
      <c r="Y129" s="286"/>
      <c r="Z129" s="286"/>
      <c r="AA129" s="286"/>
      <c r="AB129" s="286"/>
      <c r="AC129" s="286"/>
      <c r="AD129" s="286"/>
      <c r="AE129" s="286"/>
      <c r="AF129" s="286"/>
      <c r="AG129" s="286"/>
      <c r="AH129" s="286"/>
      <c r="AI129" s="286"/>
      <c r="AJ129" s="286"/>
      <c r="AK129" s="287"/>
      <c r="AL129" s="288"/>
      <c r="AM129" s="287"/>
      <c r="AN129" s="287"/>
      <c r="AO129" s="287"/>
      <c r="AP129" s="286"/>
      <c r="AQ129" s="296"/>
      <c r="AR129" s="286"/>
      <c r="AS129" s="286"/>
      <c r="AT129" s="28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6"/>
      <c r="BY129" s="289"/>
      <c r="BZ129" s="289"/>
      <c r="CA129" s="289"/>
      <c r="CB129" s="289"/>
      <c r="CC129" s="289"/>
      <c r="CD129" s="289"/>
      <c r="CE129" s="289"/>
      <c r="CF129" s="289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292"/>
      <c r="CT129" s="6"/>
      <c r="CU129" s="6"/>
      <c r="CV129" s="6"/>
      <c r="CW129" s="6"/>
      <c r="CX129" s="6"/>
      <c r="CY129" s="6"/>
      <c r="CZ129" s="6"/>
      <c r="DA129" s="343"/>
      <c r="DH129" s="238"/>
    </row>
    <row r="130" spans="1:112" ht="20" customHeight="1" x14ac:dyDescent="0.35">
      <c r="A130" s="301"/>
      <c r="B130" s="270" t="s">
        <v>763</v>
      </c>
      <c r="C130" s="270" t="s">
        <v>1594</v>
      </c>
      <c r="D130" s="270"/>
      <c r="E130" s="270" t="s">
        <v>406</v>
      </c>
      <c r="F130" s="270" t="s">
        <v>62</v>
      </c>
      <c r="G130" s="270" t="s">
        <v>767</v>
      </c>
      <c r="H130" s="298">
        <v>31.5</v>
      </c>
      <c r="I130" s="286"/>
      <c r="J130" s="286"/>
      <c r="K130" s="286"/>
      <c r="L130" s="286"/>
      <c r="M130" s="286"/>
      <c r="N130" s="286"/>
      <c r="O130" s="286"/>
      <c r="P130" s="286"/>
      <c r="Q130" s="286"/>
      <c r="R130" s="286"/>
      <c r="S130" s="286"/>
      <c r="T130" s="286"/>
      <c r="U130" s="286"/>
      <c r="V130" s="294"/>
      <c r="W130" s="286"/>
      <c r="X130" s="286"/>
      <c r="Y130" s="286"/>
      <c r="Z130" s="286"/>
      <c r="AA130" s="286"/>
      <c r="AB130" s="286"/>
      <c r="AC130" s="286"/>
      <c r="AD130" s="286"/>
      <c r="AE130" s="286"/>
      <c r="AF130" s="286"/>
      <c r="AG130" s="286"/>
      <c r="AH130" s="286"/>
      <c r="AI130" s="286"/>
      <c r="AJ130" s="286"/>
      <c r="AK130" s="287"/>
      <c r="AL130" s="288"/>
      <c r="AM130" s="287"/>
      <c r="AN130" s="287"/>
      <c r="AO130" s="287"/>
      <c r="AP130" s="286"/>
      <c r="AQ130" s="296"/>
      <c r="AR130" s="286"/>
      <c r="AS130" s="286"/>
      <c r="AT130" s="28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7"/>
      <c r="BE130" s="287"/>
      <c r="BF130" s="287"/>
      <c r="BG130" s="288">
        <v>38</v>
      </c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6"/>
      <c r="BY130" s="289"/>
      <c r="BZ130" s="289"/>
      <c r="CA130" s="289"/>
      <c r="CB130" s="289"/>
      <c r="CC130" s="289"/>
      <c r="CD130" s="289"/>
      <c r="CE130" s="289"/>
      <c r="CF130" s="289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>
        <v>45</v>
      </c>
      <c r="CS130" s="292">
        <v>6</v>
      </c>
      <c r="CT130" s="6"/>
      <c r="CU130" s="6"/>
      <c r="CV130" s="6"/>
      <c r="CW130" s="6"/>
      <c r="CX130" s="6"/>
      <c r="CY130" s="6"/>
      <c r="CZ130" s="6"/>
      <c r="DA130" s="343">
        <f t="shared" si="5"/>
        <v>31.5</v>
      </c>
      <c r="DH130" s="238">
        <v>15</v>
      </c>
    </row>
    <row r="131" spans="1:112" ht="20" customHeight="1" x14ac:dyDescent="0.35">
      <c r="A131" s="301"/>
      <c r="B131" s="270" t="s">
        <v>764</v>
      </c>
      <c r="C131" s="270" t="s">
        <v>1594</v>
      </c>
      <c r="D131" s="270"/>
      <c r="E131" s="270" t="s">
        <v>406</v>
      </c>
      <c r="F131" s="270" t="s">
        <v>407</v>
      </c>
      <c r="G131" s="270" t="s">
        <v>39</v>
      </c>
      <c r="H131" s="298">
        <f>H130/1000*110*10</f>
        <v>34.65</v>
      </c>
      <c r="I131" s="286"/>
      <c r="J131" s="286"/>
      <c r="K131" s="286"/>
      <c r="L131" s="286"/>
      <c r="M131" s="286"/>
      <c r="N131" s="286"/>
      <c r="O131" s="286"/>
      <c r="P131" s="286"/>
      <c r="Q131" s="286"/>
      <c r="R131" s="286"/>
      <c r="S131" s="286"/>
      <c r="T131" s="286"/>
      <c r="U131" s="286"/>
      <c r="V131" s="286"/>
      <c r="W131" s="286"/>
      <c r="X131" s="286"/>
      <c r="Y131" s="286"/>
      <c r="Z131" s="286"/>
      <c r="AA131" s="286"/>
      <c r="AB131" s="286"/>
      <c r="AC131" s="286"/>
      <c r="AD131" s="286"/>
      <c r="AE131" s="286"/>
      <c r="AF131" s="286"/>
      <c r="AG131" s="286"/>
      <c r="AH131" s="286"/>
      <c r="AI131" s="286"/>
      <c r="AJ131" s="286"/>
      <c r="AK131" s="287"/>
      <c r="AL131" s="288"/>
      <c r="AM131" s="287"/>
      <c r="AN131" s="287"/>
      <c r="AO131" s="287"/>
      <c r="AP131" s="286"/>
      <c r="AQ131" s="296"/>
      <c r="AR131" s="286"/>
      <c r="AS131" s="286"/>
      <c r="AT131" s="28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  <c r="BU131" s="287"/>
      <c r="BV131" s="287"/>
      <c r="BW131" s="287"/>
      <c r="BX131" s="286"/>
      <c r="BY131" s="289"/>
      <c r="BZ131" s="289"/>
      <c r="CA131" s="289"/>
      <c r="CB131" s="289"/>
      <c r="CC131" s="289"/>
      <c r="CD131" s="289"/>
      <c r="CE131" s="289"/>
      <c r="CF131" s="289"/>
      <c r="CG131" s="287"/>
      <c r="CH131" s="287"/>
      <c r="CI131" s="287"/>
      <c r="CJ131" s="287"/>
      <c r="CK131" s="287"/>
      <c r="CL131" s="287"/>
      <c r="CM131" s="287"/>
      <c r="CN131" s="287"/>
      <c r="CO131" s="287"/>
      <c r="CP131" s="287"/>
      <c r="CQ131" s="287"/>
      <c r="CR131" s="287"/>
      <c r="CS131" s="6"/>
      <c r="CT131" s="6"/>
      <c r="CU131" s="6"/>
      <c r="CV131" s="6"/>
      <c r="CW131" s="6"/>
      <c r="CX131" s="6"/>
      <c r="CY131" s="6"/>
      <c r="CZ131" s="6"/>
      <c r="DA131" s="343">
        <f t="shared" si="5"/>
        <v>34.65</v>
      </c>
      <c r="DH131" s="238">
        <v>0.55000000000000004</v>
      </c>
    </row>
    <row r="132" spans="1:112" ht="20" customHeight="1" x14ac:dyDescent="0.35">
      <c r="A132" s="301"/>
      <c r="B132" s="270" t="s">
        <v>765</v>
      </c>
      <c r="C132" s="270" t="s">
        <v>1594</v>
      </c>
      <c r="D132" s="270" t="s">
        <v>604</v>
      </c>
      <c r="E132" s="270" t="s">
        <v>406</v>
      </c>
      <c r="F132" s="270" t="s">
        <v>518</v>
      </c>
      <c r="G132" s="270" t="s">
        <v>39</v>
      </c>
      <c r="H132" s="298">
        <f>H131/1000*110*4</f>
        <v>15.246</v>
      </c>
      <c r="I132" s="286"/>
      <c r="J132" s="292">
        <v>18</v>
      </c>
      <c r="K132" s="286"/>
      <c r="L132" s="286"/>
      <c r="M132" s="286"/>
      <c r="N132" s="286"/>
      <c r="O132" s="286"/>
      <c r="P132" s="286"/>
      <c r="Q132" s="286"/>
      <c r="R132" s="286"/>
      <c r="S132" s="286"/>
      <c r="T132" s="286"/>
      <c r="U132" s="286"/>
      <c r="V132" s="294"/>
      <c r="W132" s="286"/>
      <c r="X132" s="286"/>
      <c r="Y132" s="286"/>
      <c r="Z132" s="286"/>
      <c r="AA132" s="286"/>
      <c r="AB132" s="286"/>
      <c r="AC132" s="286"/>
      <c r="AD132" s="286"/>
      <c r="AE132" s="286"/>
      <c r="AF132" s="286"/>
      <c r="AG132" s="286"/>
      <c r="AH132" s="286"/>
      <c r="AI132" s="286"/>
      <c r="AJ132" s="286"/>
      <c r="AK132" s="287"/>
      <c r="AL132" s="288"/>
      <c r="AM132" s="287"/>
      <c r="AN132" s="287"/>
      <c r="AO132" s="287"/>
      <c r="AP132" s="286"/>
      <c r="AQ132" s="296"/>
      <c r="AR132" s="286"/>
      <c r="AS132" s="286"/>
      <c r="AT132" s="28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6"/>
      <c r="BY132" s="289"/>
      <c r="BZ132" s="289"/>
      <c r="CA132" s="289"/>
      <c r="CB132" s="289"/>
      <c r="CC132" s="289"/>
      <c r="CD132" s="289"/>
      <c r="CE132" s="289"/>
      <c r="CF132" s="289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6"/>
      <c r="CT132" s="6"/>
      <c r="CU132" s="6"/>
      <c r="CV132" s="6"/>
      <c r="CW132" s="6"/>
      <c r="CX132" s="6"/>
      <c r="CY132" s="6"/>
      <c r="CZ132" s="6"/>
      <c r="DA132" s="343">
        <f t="shared" si="5"/>
        <v>15.246</v>
      </c>
      <c r="DH132" s="238">
        <v>2.5</v>
      </c>
    </row>
    <row r="133" spans="1:112" ht="20" customHeight="1" x14ac:dyDescent="0.35">
      <c r="A133" s="301"/>
      <c r="B133" s="270" t="s">
        <v>1110</v>
      </c>
      <c r="C133" s="270" t="s">
        <v>1594</v>
      </c>
      <c r="D133" s="270" t="s">
        <v>604</v>
      </c>
      <c r="E133" s="270" t="s">
        <v>406</v>
      </c>
      <c r="F133" s="270" t="s">
        <v>1111</v>
      </c>
      <c r="G133" s="270" t="s">
        <v>44</v>
      </c>
      <c r="H133" s="298">
        <f>H132/1000*110</f>
        <v>1.67706</v>
      </c>
      <c r="I133" s="286"/>
      <c r="J133" s="286"/>
      <c r="K133" s="286"/>
      <c r="L133" s="286"/>
      <c r="M133" s="286"/>
      <c r="N133" s="286"/>
      <c r="O133" s="286"/>
      <c r="P133" s="286"/>
      <c r="Q133" s="286"/>
      <c r="R133" s="286"/>
      <c r="S133" s="286"/>
      <c r="T133" s="286"/>
      <c r="U133" s="286"/>
      <c r="V133" s="294"/>
      <c r="W133" s="286"/>
      <c r="X133" s="286"/>
      <c r="Y133" s="286"/>
      <c r="Z133" s="286"/>
      <c r="AA133" s="286"/>
      <c r="AB133" s="286"/>
      <c r="AC133" s="286"/>
      <c r="AD133" s="286"/>
      <c r="AE133" s="286"/>
      <c r="AF133" s="286"/>
      <c r="AG133" s="286"/>
      <c r="AH133" s="286"/>
      <c r="AI133" s="286"/>
      <c r="AJ133" s="286"/>
      <c r="AK133" s="287"/>
      <c r="AL133" s="288"/>
      <c r="AM133" s="287"/>
      <c r="AN133" s="287"/>
      <c r="AO133" s="287"/>
      <c r="AP133" s="286"/>
      <c r="AQ133" s="296"/>
      <c r="AR133" s="286"/>
      <c r="AS133" s="286"/>
      <c r="AT133" s="28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  <c r="BU133" s="287"/>
      <c r="BV133" s="287"/>
      <c r="BW133" s="287"/>
      <c r="BX133" s="286"/>
      <c r="BY133" s="289"/>
      <c r="BZ133" s="289"/>
      <c r="CA133" s="289"/>
      <c r="CB133" s="289"/>
      <c r="CC133" s="289"/>
      <c r="CD133" s="289"/>
      <c r="CE133" s="289"/>
      <c r="CF133" s="289"/>
      <c r="CG133" s="287"/>
      <c r="CH133" s="287"/>
      <c r="CI133" s="287"/>
      <c r="CJ133" s="287"/>
      <c r="CK133" s="287"/>
      <c r="CL133" s="287"/>
      <c r="CM133" s="287"/>
      <c r="CN133" s="287"/>
      <c r="CO133" s="287"/>
      <c r="CP133" s="287"/>
      <c r="CQ133" s="287"/>
      <c r="CR133" s="287"/>
      <c r="CS133" s="6"/>
      <c r="CT133" s="6"/>
      <c r="CU133" s="6"/>
      <c r="CV133" s="6"/>
      <c r="CW133" s="6"/>
      <c r="CX133" s="6"/>
      <c r="CY133" s="6"/>
      <c r="CZ133" s="6"/>
      <c r="DA133" s="343">
        <f t="shared" si="5"/>
        <v>1.67706</v>
      </c>
      <c r="DH133" s="238">
        <v>4.5</v>
      </c>
    </row>
    <row r="134" spans="1:112" ht="20" customHeight="1" x14ac:dyDescent="0.35">
      <c r="A134" s="301"/>
      <c r="B134" s="270" t="s">
        <v>768</v>
      </c>
      <c r="C134" s="306" t="s">
        <v>1550</v>
      </c>
      <c r="D134" s="270"/>
      <c r="E134" s="270" t="s">
        <v>34</v>
      </c>
      <c r="F134" s="270" t="s">
        <v>530</v>
      </c>
      <c r="G134" s="270" t="s">
        <v>522</v>
      </c>
      <c r="H134" s="310">
        <f>78/20</f>
        <v>3.9</v>
      </c>
      <c r="I134" s="286"/>
      <c r="J134" s="292">
        <v>7</v>
      </c>
      <c r="K134" s="286"/>
      <c r="L134" s="286"/>
      <c r="M134" s="286"/>
      <c r="N134" s="286"/>
      <c r="O134" s="300">
        <v>6</v>
      </c>
      <c r="P134" s="286"/>
      <c r="Q134" s="286"/>
      <c r="R134" s="286"/>
      <c r="S134" s="286"/>
      <c r="T134" s="286">
        <v>7</v>
      </c>
      <c r="U134" s="286"/>
      <c r="V134" s="286"/>
      <c r="W134" s="286"/>
      <c r="X134" s="286"/>
      <c r="Y134" s="286"/>
      <c r="Z134" s="286"/>
      <c r="AA134" s="286"/>
      <c r="AB134" s="286"/>
      <c r="AC134" s="286"/>
      <c r="AD134" s="286"/>
      <c r="AE134" s="286"/>
      <c r="AF134" s="286"/>
      <c r="AG134" s="286"/>
      <c r="AH134" s="286"/>
      <c r="AI134" s="286"/>
      <c r="AJ134" s="286"/>
      <c r="AK134" s="287"/>
      <c r="AL134" s="288"/>
      <c r="AM134" s="287"/>
      <c r="AN134" s="287"/>
      <c r="AO134" s="287"/>
      <c r="AP134" s="286"/>
      <c r="AQ134" s="296"/>
      <c r="AR134" s="286"/>
      <c r="AS134" s="286"/>
      <c r="AT134" s="28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7"/>
      <c r="BE134" s="287"/>
      <c r="BF134" s="287"/>
      <c r="BG134" s="288">
        <v>7</v>
      </c>
      <c r="BH134" s="287"/>
      <c r="BI134" s="287"/>
      <c r="BJ134" s="287"/>
      <c r="BK134" s="299">
        <v>10</v>
      </c>
      <c r="BL134" s="287"/>
      <c r="BM134" s="287"/>
      <c r="BN134" s="287"/>
      <c r="BO134" s="287"/>
      <c r="BP134" s="287"/>
      <c r="BQ134" s="287"/>
      <c r="BR134" s="287"/>
      <c r="BS134" s="287"/>
      <c r="BT134" s="287"/>
      <c r="BU134" s="287"/>
      <c r="BV134" s="287"/>
      <c r="BW134" s="287"/>
      <c r="BX134" s="286"/>
      <c r="BY134" s="289"/>
      <c r="BZ134" s="289">
        <v>8</v>
      </c>
      <c r="CA134" s="289"/>
      <c r="CB134" s="289"/>
      <c r="CC134" s="289"/>
      <c r="CD134" s="289"/>
      <c r="CE134" s="289"/>
      <c r="CF134" s="289"/>
      <c r="CG134" s="287"/>
      <c r="CH134" s="287"/>
      <c r="CI134" s="287"/>
      <c r="CJ134" s="287"/>
      <c r="CK134" s="287"/>
      <c r="CL134" s="287"/>
      <c r="CM134" s="287"/>
      <c r="CN134" s="287"/>
      <c r="CO134" s="287"/>
      <c r="CP134" s="287"/>
      <c r="CQ134" s="287"/>
      <c r="CR134" s="287"/>
      <c r="CS134" s="6"/>
      <c r="CT134" s="6"/>
      <c r="CU134" s="6"/>
      <c r="CV134" s="6"/>
      <c r="CW134" s="6"/>
      <c r="CX134" s="6"/>
      <c r="CY134" s="6"/>
      <c r="CZ134" s="6"/>
      <c r="DA134" s="343">
        <f t="shared" si="5"/>
        <v>3.9</v>
      </c>
      <c r="DH134" s="238">
        <v>4.8</v>
      </c>
    </row>
    <row r="135" spans="1:112" ht="20" customHeight="1" x14ac:dyDescent="0.35">
      <c r="A135" s="301"/>
      <c r="B135" s="270" t="s">
        <v>769</v>
      </c>
      <c r="C135" s="306" t="s">
        <v>1595</v>
      </c>
      <c r="D135" s="270"/>
      <c r="E135" s="270" t="s">
        <v>771</v>
      </c>
      <c r="F135" s="270" t="s">
        <v>772</v>
      </c>
      <c r="G135" s="270"/>
      <c r="H135" s="310">
        <v>54</v>
      </c>
      <c r="I135" s="286"/>
      <c r="J135" s="286"/>
      <c r="K135" s="286"/>
      <c r="L135" s="286"/>
      <c r="M135" s="286"/>
      <c r="N135" s="286"/>
      <c r="O135" s="286"/>
      <c r="P135" s="286"/>
      <c r="Q135" s="286"/>
      <c r="R135" s="286"/>
      <c r="S135" s="286"/>
      <c r="T135" s="286"/>
      <c r="U135" s="286"/>
      <c r="V135" s="286"/>
      <c r="W135" s="286"/>
      <c r="X135" s="286"/>
      <c r="Y135" s="286"/>
      <c r="Z135" s="286"/>
      <c r="AA135" s="286"/>
      <c r="AB135" s="286"/>
      <c r="AC135" s="286"/>
      <c r="AD135" s="286"/>
      <c r="AE135" s="286"/>
      <c r="AF135" s="286"/>
      <c r="AG135" s="286"/>
      <c r="AH135" s="286"/>
      <c r="AI135" s="286"/>
      <c r="AJ135" s="286"/>
      <c r="AK135" s="287"/>
      <c r="AL135" s="288"/>
      <c r="AM135" s="287"/>
      <c r="AN135" s="287"/>
      <c r="AO135" s="287"/>
      <c r="AP135" s="286"/>
      <c r="AQ135" s="296"/>
      <c r="AR135" s="286"/>
      <c r="AS135" s="286"/>
      <c r="AT135" s="28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  <c r="BU135" s="287"/>
      <c r="BV135" s="287"/>
      <c r="BW135" s="287"/>
      <c r="BX135" s="286"/>
      <c r="BY135" s="289"/>
      <c r="BZ135" s="289"/>
      <c r="CA135" s="289"/>
      <c r="CB135" s="289"/>
      <c r="CC135" s="289"/>
      <c r="CD135" s="289"/>
      <c r="CE135" s="289"/>
      <c r="CF135" s="289"/>
      <c r="CG135" s="287"/>
      <c r="CH135" s="287"/>
      <c r="CI135" s="287"/>
      <c r="CJ135" s="287"/>
      <c r="CK135" s="287"/>
      <c r="CL135" s="287"/>
      <c r="CM135" s="287"/>
      <c r="CN135" s="287"/>
      <c r="CO135" s="287"/>
      <c r="CP135" s="287"/>
      <c r="CQ135" s="287"/>
      <c r="CR135" s="287"/>
      <c r="CS135" s="6"/>
      <c r="CT135" s="6"/>
      <c r="CU135" s="6"/>
      <c r="CV135" s="6"/>
      <c r="CW135" s="6"/>
      <c r="CX135" s="6"/>
      <c r="CY135" s="6"/>
      <c r="CZ135" s="6"/>
      <c r="DA135" s="343">
        <f t="shared" si="5"/>
        <v>54</v>
      </c>
      <c r="DH135" s="238">
        <v>2.5</v>
      </c>
    </row>
    <row r="136" spans="1:112" ht="20" customHeight="1" x14ac:dyDescent="0.35">
      <c r="A136" s="301"/>
      <c r="B136" s="270" t="s">
        <v>770</v>
      </c>
      <c r="C136" s="306" t="s">
        <v>1595</v>
      </c>
      <c r="D136" s="270"/>
      <c r="E136" s="270" t="s">
        <v>771</v>
      </c>
      <c r="F136" s="270" t="s">
        <v>773</v>
      </c>
      <c r="G136" s="270"/>
      <c r="H136" s="310">
        <v>4.5</v>
      </c>
      <c r="I136" s="286"/>
      <c r="J136" s="286"/>
      <c r="K136" s="286"/>
      <c r="L136" s="286"/>
      <c r="M136" s="286"/>
      <c r="N136" s="286"/>
      <c r="O136" s="286"/>
      <c r="P136" s="286"/>
      <c r="Q136" s="286"/>
      <c r="R136" s="286"/>
      <c r="S136" s="286"/>
      <c r="T136" s="286"/>
      <c r="U136" s="286"/>
      <c r="V136" s="286"/>
      <c r="W136" s="286"/>
      <c r="X136" s="286"/>
      <c r="Y136" s="286"/>
      <c r="Z136" s="286"/>
      <c r="AA136" s="286"/>
      <c r="AB136" s="286"/>
      <c r="AC136" s="286"/>
      <c r="AD136" s="286"/>
      <c r="AE136" s="286"/>
      <c r="AF136" s="286"/>
      <c r="AG136" s="286"/>
      <c r="AH136" s="286"/>
      <c r="AI136" s="286"/>
      <c r="AJ136" s="286"/>
      <c r="AK136" s="287"/>
      <c r="AL136" s="288"/>
      <c r="AM136" s="287"/>
      <c r="AN136" s="287"/>
      <c r="AO136" s="287"/>
      <c r="AP136" s="286"/>
      <c r="AQ136" s="296"/>
      <c r="AR136" s="286"/>
      <c r="AS136" s="286"/>
      <c r="AT136" s="28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7"/>
      <c r="BE136" s="287"/>
      <c r="BF136" s="287"/>
      <c r="BG136" s="288">
        <v>7</v>
      </c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  <c r="BU136" s="287"/>
      <c r="BV136" s="287"/>
      <c r="BW136" s="287"/>
      <c r="BX136" s="286"/>
      <c r="BY136" s="289"/>
      <c r="BZ136" s="289"/>
      <c r="CA136" s="289"/>
      <c r="CB136" s="289"/>
      <c r="CC136" s="289"/>
      <c r="CD136" s="289"/>
      <c r="CE136" s="289"/>
      <c r="CF136" s="289"/>
      <c r="CG136" s="287"/>
      <c r="CH136" s="287"/>
      <c r="CI136" s="287"/>
      <c r="CJ136" s="287"/>
      <c r="CK136" s="287"/>
      <c r="CL136" s="287"/>
      <c r="CM136" s="287"/>
      <c r="CN136" s="287"/>
      <c r="CO136" s="287"/>
      <c r="CP136" s="287"/>
      <c r="CQ136" s="287"/>
      <c r="CR136" s="287"/>
      <c r="CS136" s="6"/>
      <c r="CT136" s="6"/>
      <c r="CU136" s="6"/>
      <c r="CV136" s="6"/>
      <c r="CW136" s="6"/>
      <c r="CX136" s="6"/>
      <c r="CY136" s="6"/>
      <c r="CZ136" s="6"/>
      <c r="DA136" s="343">
        <f t="shared" si="5"/>
        <v>4.5</v>
      </c>
      <c r="DH136" s="238">
        <v>2.5</v>
      </c>
    </row>
    <row r="137" spans="1:112" ht="20" customHeight="1" x14ac:dyDescent="0.35">
      <c r="A137" s="301"/>
      <c r="B137" s="270" t="s">
        <v>774</v>
      </c>
      <c r="C137" s="270" t="s">
        <v>1596</v>
      </c>
      <c r="D137" s="270" t="s">
        <v>606</v>
      </c>
      <c r="E137" s="270" t="s">
        <v>34</v>
      </c>
      <c r="F137" s="270" t="s">
        <v>422</v>
      </c>
      <c r="G137" s="270" t="s">
        <v>522</v>
      </c>
      <c r="H137" s="310">
        <v>62</v>
      </c>
      <c r="I137" s="286"/>
      <c r="J137" s="286"/>
      <c r="K137" s="286"/>
      <c r="L137" s="286"/>
      <c r="M137" s="286"/>
      <c r="N137" s="286"/>
      <c r="O137" s="286"/>
      <c r="P137" s="286"/>
      <c r="Q137" s="286"/>
      <c r="R137" s="286"/>
      <c r="S137" s="286"/>
      <c r="T137" s="286"/>
      <c r="U137" s="286"/>
      <c r="V137" s="286"/>
      <c r="W137" s="286"/>
      <c r="X137" s="286"/>
      <c r="Y137" s="286"/>
      <c r="Z137" s="286"/>
      <c r="AA137" s="286"/>
      <c r="AB137" s="286"/>
      <c r="AC137" s="286"/>
      <c r="AD137" s="286"/>
      <c r="AE137" s="286"/>
      <c r="AF137" s="286"/>
      <c r="AG137" s="286"/>
      <c r="AH137" s="286"/>
      <c r="AI137" s="286"/>
      <c r="AJ137" s="286"/>
      <c r="AK137" s="287"/>
      <c r="AL137" s="288"/>
      <c r="AM137" s="287"/>
      <c r="AN137" s="287"/>
      <c r="AO137" s="287"/>
      <c r="AP137" s="286"/>
      <c r="AQ137" s="296"/>
      <c r="AR137" s="286"/>
      <c r="AS137" s="286"/>
      <c r="AT137" s="28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7"/>
      <c r="BE137" s="287"/>
      <c r="BF137" s="287"/>
      <c r="BG137" s="287"/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  <c r="BU137" s="287"/>
      <c r="BV137" s="287"/>
      <c r="BW137" s="287"/>
      <c r="BX137" s="286"/>
      <c r="BY137" s="289"/>
      <c r="BZ137" s="289"/>
      <c r="CA137" s="289"/>
      <c r="CB137" s="289"/>
      <c r="CC137" s="289"/>
      <c r="CD137" s="289"/>
      <c r="CE137" s="289"/>
      <c r="CF137" s="289"/>
      <c r="CG137" s="287"/>
      <c r="CH137" s="287"/>
      <c r="CI137" s="287"/>
      <c r="CJ137" s="287"/>
      <c r="CK137" s="287"/>
      <c r="CL137" s="287"/>
      <c r="CM137" s="287"/>
      <c r="CN137" s="287"/>
      <c r="CO137" s="287"/>
      <c r="CP137" s="287"/>
      <c r="CQ137" s="287"/>
      <c r="CR137" s="287"/>
      <c r="CS137" s="6"/>
      <c r="CT137" s="6"/>
      <c r="CU137" s="6"/>
      <c r="CV137" s="6"/>
      <c r="CW137" s="6"/>
      <c r="CX137" s="6"/>
      <c r="CY137" s="6"/>
      <c r="CZ137" s="6"/>
      <c r="DA137" s="343">
        <f t="shared" si="5"/>
        <v>62</v>
      </c>
      <c r="DH137" s="238">
        <v>2.5</v>
      </c>
    </row>
    <row r="138" spans="1:112" ht="20" customHeight="1" x14ac:dyDescent="0.35">
      <c r="A138" s="301"/>
      <c r="B138" s="270" t="s">
        <v>775</v>
      </c>
      <c r="C138" s="270" t="s">
        <v>1596</v>
      </c>
      <c r="D138" s="270" t="s">
        <v>606</v>
      </c>
      <c r="E138" s="270" t="s">
        <v>776</v>
      </c>
      <c r="F138" s="270" t="s">
        <v>328</v>
      </c>
      <c r="G138" s="270" t="s">
        <v>39</v>
      </c>
      <c r="H138" s="298">
        <f>H137/25*3</f>
        <v>7.4399999999999995</v>
      </c>
      <c r="I138" s="286">
        <v>0</v>
      </c>
      <c r="J138" s="292">
        <v>10.5</v>
      </c>
      <c r="K138" s="286"/>
      <c r="L138" s="286"/>
      <c r="M138" s="286"/>
      <c r="N138" s="286"/>
      <c r="O138" s="286"/>
      <c r="P138" s="292">
        <v>10</v>
      </c>
      <c r="Q138" s="286">
        <v>10.5</v>
      </c>
      <c r="R138" s="286"/>
      <c r="S138" s="286">
        <v>10.5</v>
      </c>
      <c r="T138" s="286">
        <v>10.5</v>
      </c>
      <c r="U138" s="286"/>
      <c r="V138" s="294"/>
      <c r="W138" s="286"/>
      <c r="X138" s="286"/>
      <c r="Y138" s="286"/>
      <c r="Z138" s="286"/>
      <c r="AA138" s="286"/>
      <c r="AB138" s="286"/>
      <c r="AC138" s="286"/>
      <c r="AD138" s="286"/>
      <c r="AE138" s="286"/>
      <c r="AF138" s="286"/>
      <c r="AG138" s="286"/>
      <c r="AH138" s="286"/>
      <c r="AI138" s="286"/>
      <c r="AJ138" s="286">
        <v>10</v>
      </c>
      <c r="AK138" s="287"/>
      <c r="AL138" s="288"/>
      <c r="AM138" s="287"/>
      <c r="AN138" s="287"/>
      <c r="AO138" s="287"/>
      <c r="AP138" s="286"/>
      <c r="AQ138" s="296">
        <v>11</v>
      </c>
      <c r="AR138" s="286"/>
      <c r="AS138" s="286"/>
      <c r="AT138" s="286"/>
      <c r="AU138" s="286"/>
      <c r="AV138" s="286"/>
      <c r="AW138" s="286"/>
      <c r="AX138" s="286">
        <v>10.5</v>
      </c>
      <c r="AY138" s="286">
        <v>10.5</v>
      </c>
      <c r="AZ138" s="286">
        <v>10.5</v>
      </c>
      <c r="BA138" s="286">
        <v>10.5</v>
      </c>
      <c r="BB138" s="286">
        <v>10.5</v>
      </c>
      <c r="BC138" s="286">
        <v>10.5</v>
      </c>
      <c r="BD138" s="287"/>
      <c r="BE138" s="287"/>
      <c r="BF138" s="287"/>
      <c r="BG138" s="288">
        <v>10.5</v>
      </c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  <c r="BU138" s="287"/>
      <c r="BV138" s="287"/>
      <c r="BW138" s="287"/>
      <c r="BX138" s="286">
        <f>J138</f>
        <v>10.5</v>
      </c>
      <c r="BY138" s="289"/>
      <c r="BZ138" s="289"/>
      <c r="CA138" s="289"/>
      <c r="CB138" s="289"/>
      <c r="CC138" s="289"/>
      <c r="CD138" s="289"/>
      <c r="CE138" s="289"/>
      <c r="CF138" s="289"/>
      <c r="CG138" s="287"/>
      <c r="CH138" s="287"/>
      <c r="CI138" s="287"/>
      <c r="CJ138" s="287"/>
      <c r="CK138" s="287"/>
      <c r="CL138" s="287"/>
      <c r="CM138" s="292">
        <v>10.5</v>
      </c>
      <c r="CN138" s="287"/>
      <c r="CO138" s="287"/>
      <c r="CP138" s="287"/>
      <c r="CQ138" s="287"/>
      <c r="CR138" s="292">
        <v>10.5</v>
      </c>
      <c r="CS138" s="6"/>
      <c r="CT138" s="6"/>
      <c r="CU138" s="6"/>
      <c r="CV138" s="6"/>
      <c r="CW138" s="6"/>
      <c r="CX138" s="6"/>
      <c r="CY138" s="6"/>
      <c r="CZ138" s="6"/>
      <c r="DA138" s="343">
        <f t="shared" si="5"/>
        <v>7.4399999999999995</v>
      </c>
      <c r="DH138" s="238">
        <v>4.2</v>
      </c>
    </row>
    <row r="139" spans="1:112" ht="20" customHeight="1" x14ac:dyDescent="0.35">
      <c r="A139" s="290">
        <v>520752</v>
      </c>
      <c r="B139" s="270" t="s">
        <v>777</v>
      </c>
      <c r="C139" s="270" t="s">
        <v>1596</v>
      </c>
      <c r="D139" s="297" t="s">
        <v>630</v>
      </c>
      <c r="E139" s="270" t="s">
        <v>776</v>
      </c>
      <c r="F139" s="270" t="s">
        <v>489</v>
      </c>
      <c r="G139" s="270" t="s">
        <v>39</v>
      </c>
      <c r="H139" s="298">
        <f>H137/25/1000*500*20</f>
        <v>24.8</v>
      </c>
      <c r="I139" s="292">
        <v>34</v>
      </c>
      <c r="J139" s="292">
        <v>32</v>
      </c>
      <c r="K139" s="286"/>
      <c r="L139" s="286"/>
      <c r="M139" s="286"/>
      <c r="N139" s="286"/>
      <c r="O139" s="292">
        <v>34</v>
      </c>
      <c r="P139" s="286"/>
      <c r="Q139" s="286"/>
      <c r="R139" s="286">
        <v>34</v>
      </c>
      <c r="S139" s="286"/>
      <c r="T139" s="286"/>
      <c r="U139" s="286"/>
      <c r="V139" s="294"/>
      <c r="W139" s="286"/>
      <c r="X139" s="286"/>
      <c r="Y139" s="286"/>
      <c r="Z139" s="286"/>
      <c r="AA139" s="286"/>
      <c r="AB139" s="286"/>
      <c r="AC139" s="286"/>
      <c r="AD139" s="286"/>
      <c r="AE139" s="300"/>
      <c r="AF139" s="286"/>
      <c r="AG139" s="286"/>
      <c r="AH139" s="286"/>
      <c r="AI139" s="286"/>
      <c r="AJ139" s="286"/>
      <c r="AK139" s="295">
        <v>33</v>
      </c>
      <c r="AL139" s="288"/>
      <c r="AM139" s="287"/>
      <c r="AN139" s="287"/>
      <c r="AO139" s="286">
        <v>32</v>
      </c>
      <c r="AP139" s="286">
        <v>32</v>
      </c>
      <c r="AQ139" s="296"/>
      <c r="AR139" s="286">
        <v>32</v>
      </c>
      <c r="AS139" s="286"/>
      <c r="AT139" s="286">
        <v>32</v>
      </c>
      <c r="AU139" s="286">
        <v>32</v>
      </c>
      <c r="AV139" s="286">
        <v>32</v>
      </c>
      <c r="AW139" s="286">
        <v>32</v>
      </c>
      <c r="AX139" s="286"/>
      <c r="AY139" s="286"/>
      <c r="AZ139" s="286">
        <v>32</v>
      </c>
      <c r="BA139" s="286"/>
      <c r="BB139" s="286"/>
      <c r="BC139" s="286"/>
      <c r="BD139" s="287"/>
      <c r="BE139" s="287"/>
      <c r="BF139" s="287"/>
      <c r="BG139" s="288">
        <v>35</v>
      </c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  <c r="BU139" s="287"/>
      <c r="BV139" s="287"/>
      <c r="BW139" s="287"/>
      <c r="BX139" s="286">
        <v>32</v>
      </c>
      <c r="BY139" s="289"/>
      <c r="BZ139" s="289"/>
      <c r="CA139" s="289"/>
      <c r="CB139" s="289"/>
      <c r="CC139" s="289"/>
      <c r="CD139" s="289"/>
      <c r="CE139" s="289"/>
      <c r="CF139" s="289"/>
      <c r="CG139" s="287"/>
      <c r="CH139" s="287"/>
      <c r="CI139" s="287"/>
      <c r="CJ139" s="287"/>
      <c r="CK139" s="287"/>
      <c r="CL139" s="287"/>
      <c r="CM139" s="287"/>
      <c r="CN139" s="287"/>
      <c r="CO139" s="292">
        <v>32</v>
      </c>
      <c r="CP139" s="287"/>
      <c r="CQ139" s="287">
        <v>34</v>
      </c>
      <c r="CR139" s="287"/>
      <c r="CS139" s="288">
        <f>I139</f>
        <v>34</v>
      </c>
      <c r="CT139" s="6"/>
      <c r="CU139" s="6"/>
      <c r="CV139" s="6"/>
      <c r="CW139" s="6"/>
      <c r="CX139" s="6"/>
      <c r="CY139" s="6"/>
      <c r="CZ139" s="6"/>
      <c r="DA139" s="343">
        <f t="shared" si="5"/>
        <v>24.8</v>
      </c>
      <c r="DH139" s="237"/>
    </row>
    <row r="140" spans="1:112" ht="20" customHeight="1" x14ac:dyDescent="0.35">
      <c r="A140" s="290"/>
      <c r="B140" s="270" t="s">
        <v>778</v>
      </c>
      <c r="C140" s="270" t="s">
        <v>1596</v>
      </c>
      <c r="D140" s="297" t="s">
        <v>630</v>
      </c>
      <c r="E140" s="270" t="s">
        <v>776</v>
      </c>
      <c r="F140" s="270" t="s">
        <v>612</v>
      </c>
      <c r="G140" s="270" t="s">
        <v>39</v>
      </c>
      <c r="H140" s="298">
        <f>H137/25*4</f>
        <v>9.92</v>
      </c>
      <c r="I140" s="292"/>
      <c r="J140" s="286"/>
      <c r="K140" s="286"/>
      <c r="L140" s="286"/>
      <c r="M140" s="286"/>
      <c r="N140" s="286"/>
      <c r="O140" s="286"/>
      <c r="P140" s="286"/>
      <c r="Q140" s="286"/>
      <c r="R140" s="286"/>
      <c r="S140" s="286"/>
      <c r="T140" s="286"/>
      <c r="U140" s="286"/>
      <c r="V140" s="294"/>
      <c r="W140" s="286"/>
      <c r="X140" s="286"/>
      <c r="Y140" s="286"/>
      <c r="Z140" s="286"/>
      <c r="AA140" s="286"/>
      <c r="AB140" s="286"/>
      <c r="AC140" s="286"/>
      <c r="AD140" s="286"/>
      <c r="AE140" s="286"/>
      <c r="AF140" s="286"/>
      <c r="AG140" s="286"/>
      <c r="AH140" s="286"/>
      <c r="AI140" s="286"/>
      <c r="AJ140" s="286"/>
      <c r="AK140" s="287"/>
      <c r="AL140" s="288"/>
      <c r="AM140" s="287"/>
      <c r="AN140" s="287"/>
      <c r="AO140" s="286"/>
      <c r="AP140" s="286"/>
      <c r="AQ140" s="296"/>
      <c r="AR140" s="286"/>
      <c r="AS140" s="286"/>
      <c r="AT140" s="28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  <c r="BU140" s="287"/>
      <c r="BV140" s="287"/>
      <c r="BW140" s="287"/>
      <c r="BX140" s="286"/>
      <c r="BY140" s="289"/>
      <c r="BZ140" s="289"/>
      <c r="CA140" s="289"/>
      <c r="CB140" s="289"/>
      <c r="CC140" s="289"/>
      <c r="CD140" s="289"/>
      <c r="CE140" s="289"/>
      <c r="CF140" s="289"/>
      <c r="CG140" s="287"/>
      <c r="CH140" s="287"/>
      <c r="CI140" s="287"/>
      <c r="CJ140" s="287"/>
      <c r="CK140" s="287"/>
      <c r="CL140" s="287"/>
      <c r="CM140" s="287"/>
      <c r="CN140" s="287"/>
      <c r="CO140" s="287"/>
      <c r="CP140" s="287"/>
      <c r="CQ140" s="287"/>
      <c r="CR140" s="287"/>
      <c r="CS140" s="6"/>
      <c r="CT140" s="6"/>
      <c r="CU140" s="6"/>
      <c r="CV140" s="6"/>
      <c r="CW140" s="6"/>
      <c r="CX140" s="6"/>
      <c r="CY140" s="6"/>
      <c r="CZ140" s="6"/>
      <c r="DA140" s="343">
        <f t="shared" si="5"/>
        <v>9.92</v>
      </c>
      <c r="DH140" s="237"/>
    </row>
    <row r="141" spans="1:112" ht="20" customHeight="1" x14ac:dyDescent="0.35">
      <c r="A141" s="290"/>
      <c r="B141" s="270" t="s">
        <v>1232</v>
      </c>
      <c r="C141" s="270" t="s">
        <v>1596</v>
      </c>
      <c r="D141" s="297" t="s">
        <v>630</v>
      </c>
      <c r="E141" s="270" t="s">
        <v>776</v>
      </c>
      <c r="F141" s="270" t="s">
        <v>1694</v>
      </c>
      <c r="G141" s="270" t="s">
        <v>38</v>
      </c>
      <c r="H141" s="298">
        <f>531/5/25000*200</f>
        <v>0.84960000000000002</v>
      </c>
      <c r="I141" s="292"/>
      <c r="J141" s="286"/>
      <c r="K141" s="286"/>
      <c r="L141" s="286"/>
      <c r="M141" s="286"/>
      <c r="N141" s="286"/>
      <c r="O141" s="286"/>
      <c r="P141" s="286"/>
      <c r="Q141" s="286"/>
      <c r="R141" s="286"/>
      <c r="S141" s="286"/>
      <c r="T141" s="286"/>
      <c r="U141" s="286"/>
      <c r="V141" s="294"/>
      <c r="W141" s="286"/>
      <c r="X141" s="286"/>
      <c r="Y141" s="286"/>
      <c r="Z141" s="286"/>
      <c r="AA141" s="286"/>
      <c r="AB141" s="286"/>
      <c r="AC141" s="286"/>
      <c r="AD141" s="286"/>
      <c r="AE141" s="286"/>
      <c r="AF141" s="286"/>
      <c r="AG141" s="286"/>
      <c r="AH141" s="286"/>
      <c r="AI141" s="286"/>
      <c r="AJ141" s="286"/>
      <c r="AK141" s="287"/>
      <c r="AL141" s="288"/>
      <c r="AM141" s="287"/>
      <c r="AN141" s="287"/>
      <c r="AO141" s="286"/>
      <c r="AP141" s="286"/>
      <c r="AQ141" s="296">
        <v>1.2</v>
      </c>
      <c r="AR141" s="286"/>
      <c r="AS141" s="286"/>
      <c r="AT141" s="28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  <c r="BU141" s="287"/>
      <c r="BV141" s="287"/>
      <c r="BW141" s="287"/>
      <c r="BX141" s="286"/>
      <c r="BY141" s="289"/>
      <c r="BZ141" s="289"/>
      <c r="CA141" s="289"/>
      <c r="CB141" s="289"/>
      <c r="CC141" s="289"/>
      <c r="CD141" s="289"/>
      <c r="CE141" s="289"/>
      <c r="CF141" s="289"/>
      <c r="CG141" s="287"/>
      <c r="CH141" s="287"/>
      <c r="CI141" s="287"/>
      <c r="CJ141" s="287"/>
      <c r="CK141" s="287"/>
      <c r="CL141" s="287"/>
      <c r="CM141" s="287"/>
      <c r="CN141" s="287"/>
      <c r="CO141" s="287"/>
      <c r="CP141" s="287"/>
      <c r="CQ141" s="287"/>
      <c r="CR141" s="287"/>
      <c r="CS141" s="6"/>
      <c r="CT141" s="6"/>
      <c r="CU141" s="6"/>
      <c r="CV141" s="6"/>
      <c r="CW141" s="6"/>
      <c r="CX141" s="6"/>
      <c r="CY141" s="6"/>
      <c r="CZ141" s="6"/>
      <c r="DA141" s="343">
        <f t="shared" si="5"/>
        <v>0.84960000000000002</v>
      </c>
      <c r="DH141" s="237"/>
    </row>
    <row r="142" spans="1:112" ht="20" customHeight="1" x14ac:dyDescent="0.35">
      <c r="A142" s="290"/>
      <c r="B142" s="270"/>
      <c r="C142" s="270"/>
      <c r="D142" s="297"/>
      <c r="E142" s="270"/>
      <c r="F142" s="270"/>
      <c r="G142" s="270"/>
      <c r="H142" s="298"/>
      <c r="I142" s="292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94"/>
      <c r="W142" s="286"/>
      <c r="X142" s="286"/>
      <c r="Y142" s="286"/>
      <c r="Z142" s="286"/>
      <c r="AA142" s="286"/>
      <c r="AB142" s="286"/>
      <c r="AC142" s="286"/>
      <c r="AD142" s="286"/>
      <c r="AE142" s="286"/>
      <c r="AF142" s="286"/>
      <c r="AG142" s="286"/>
      <c r="AH142" s="286"/>
      <c r="AI142" s="286"/>
      <c r="AJ142" s="286"/>
      <c r="AK142" s="287"/>
      <c r="AL142" s="288"/>
      <c r="AM142" s="287"/>
      <c r="AN142" s="287"/>
      <c r="AO142" s="286"/>
      <c r="AP142" s="286"/>
      <c r="AQ142" s="296"/>
      <c r="AR142" s="286"/>
      <c r="AS142" s="286"/>
      <c r="AT142" s="28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  <c r="BU142" s="287"/>
      <c r="BV142" s="287"/>
      <c r="BW142" s="287"/>
      <c r="BX142" s="286"/>
      <c r="BY142" s="289"/>
      <c r="BZ142" s="289"/>
      <c r="CA142" s="289"/>
      <c r="CB142" s="289"/>
      <c r="CC142" s="289"/>
      <c r="CD142" s="289"/>
      <c r="CE142" s="289"/>
      <c r="CF142" s="289"/>
      <c r="CG142" s="287"/>
      <c r="CH142" s="287"/>
      <c r="CI142" s="287"/>
      <c r="CJ142" s="287"/>
      <c r="CK142" s="287"/>
      <c r="CL142" s="287"/>
      <c r="CM142" s="287"/>
      <c r="CN142" s="287"/>
      <c r="CO142" s="287"/>
      <c r="CP142" s="287"/>
      <c r="CQ142" s="287"/>
      <c r="CR142" s="287"/>
      <c r="CS142" s="6"/>
      <c r="CT142" s="6"/>
      <c r="CU142" s="6"/>
      <c r="CV142" s="6"/>
      <c r="CW142" s="6"/>
      <c r="CX142" s="6"/>
      <c r="CY142" s="6"/>
      <c r="CZ142" s="6"/>
      <c r="DA142" s="343">
        <f t="shared" si="5"/>
        <v>0</v>
      </c>
      <c r="DH142" s="237"/>
    </row>
    <row r="143" spans="1:112" ht="20" customHeight="1" x14ac:dyDescent="0.35">
      <c r="A143" s="301"/>
      <c r="B143" s="270" t="s">
        <v>779</v>
      </c>
      <c r="C143" s="270" t="s">
        <v>1596</v>
      </c>
      <c r="D143" s="270" t="s">
        <v>632</v>
      </c>
      <c r="E143" s="270" t="s">
        <v>497</v>
      </c>
      <c r="F143" s="270" t="s">
        <v>410</v>
      </c>
      <c r="G143" s="270" t="s">
        <v>33</v>
      </c>
      <c r="H143" s="298">
        <v>31.5</v>
      </c>
      <c r="I143" s="286"/>
      <c r="J143" s="300"/>
      <c r="K143" s="286"/>
      <c r="L143" s="286"/>
      <c r="M143" s="286"/>
      <c r="N143" s="286"/>
      <c r="O143" s="286">
        <v>40</v>
      </c>
      <c r="P143" s="292">
        <v>40</v>
      </c>
      <c r="Q143" s="286"/>
      <c r="R143" s="286"/>
      <c r="S143" s="286"/>
      <c r="T143" s="300"/>
      <c r="U143" s="286"/>
      <c r="V143" s="286"/>
      <c r="W143" s="286"/>
      <c r="X143" s="286"/>
      <c r="Y143" s="286"/>
      <c r="Z143" s="286"/>
      <c r="AA143" s="286"/>
      <c r="AB143" s="286"/>
      <c r="AC143" s="286"/>
      <c r="AD143" s="286"/>
      <c r="AE143" s="286"/>
      <c r="AF143" s="286"/>
      <c r="AG143" s="286"/>
      <c r="AH143" s="286"/>
      <c r="AI143" s="286"/>
      <c r="AJ143" s="286"/>
      <c r="AK143" s="287"/>
      <c r="AL143" s="288"/>
      <c r="AM143" s="287"/>
      <c r="AN143" s="287"/>
      <c r="AO143" s="287"/>
      <c r="AP143" s="286"/>
      <c r="AQ143" s="296"/>
      <c r="AR143" s="286"/>
      <c r="AS143" s="286"/>
      <c r="AT143" s="28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7"/>
      <c r="BE143" s="287"/>
      <c r="BF143" s="287"/>
      <c r="BG143" s="287"/>
      <c r="BH143" s="287"/>
      <c r="BI143" s="287"/>
      <c r="BJ143" s="287"/>
      <c r="BK143" s="287"/>
      <c r="BL143" s="287"/>
      <c r="BM143" s="287"/>
      <c r="BN143" s="287"/>
      <c r="BO143" s="287"/>
      <c r="BP143" s="287"/>
      <c r="BQ143" s="287"/>
      <c r="BR143" s="287"/>
      <c r="BS143" s="287"/>
      <c r="BT143" s="287"/>
      <c r="BU143" s="287"/>
      <c r="BV143" s="287"/>
      <c r="BW143" s="287"/>
      <c r="BX143" s="286"/>
      <c r="BY143" s="289"/>
      <c r="BZ143" s="289"/>
      <c r="CA143" s="289"/>
      <c r="CB143" s="289"/>
      <c r="CC143" s="289"/>
      <c r="CD143" s="289"/>
      <c r="CE143" s="289"/>
      <c r="CF143" s="289"/>
      <c r="CG143" s="305"/>
      <c r="CH143" s="287"/>
      <c r="CI143" s="287"/>
      <c r="CJ143" s="287"/>
      <c r="CK143" s="287"/>
      <c r="CL143" s="287"/>
      <c r="CM143" s="287"/>
      <c r="CN143" s="287"/>
      <c r="CO143" s="287"/>
      <c r="CP143" s="287"/>
      <c r="CQ143" s="287"/>
      <c r="CR143" s="287"/>
      <c r="CS143" s="6"/>
      <c r="CT143" s="6"/>
      <c r="CU143" s="6"/>
      <c r="CV143" s="6"/>
      <c r="CW143" s="6"/>
      <c r="CX143" s="6"/>
      <c r="CY143" s="6"/>
      <c r="CZ143" s="6"/>
      <c r="DA143" s="343">
        <f t="shared" si="5"/>
        <v>31.5</v>
      </c>
      <c r="DH143" s="237"/>
    </row>
    <row r="144" spans="1:112" ht="20" customHeight="1" x14ac:dyDescent="0.35">
      <c r="A144" s="301"/>
      <c r="B144" s="270" t="s">
        <v>780</v>
      </c>
      <c r="C144" s="270" t="s">
        <v>1597</v>
      </c>
      <c r="D144" s="270" t="s">
        <v>34</v>
      </c>
      <c r="E144" s="270" t="s">
        <v>1479</v>
      </c>
      <c r="F144" s="270" t="s">
        <v>1480</v>
      </c>
      <c r="G144" s="270" t="s">
        <v>207</v>
      </c>
      <c r="H144" s="298">
        <f>152/6</f>
        <v>25.333333333333332</v>
      </c>
      <c r="I144" s="286"/>
      <c r="J144" s="292">
        <v>33</v>
      </c>
      <c r="K144" s="286"/>
      <c r="L144" s="286"/>
      <c r="M144" s="286"/>
      <c r="N144" s="286"/>
      <c r="O144" s="286"/>
      <c r="P144" s="286"/>
      <c r="Q144" s="286"/>
      <c r="R144" s="286"/>
      <c r="S144" s="286"/>
      <c r="T144" s="286"/>
      <c r="U144" s="286"/>
      <c r="V144" s="286"/>
      <c r="W144" s="286"/>
      <c r="X144" s="286"/>
      <c r="Y144" s="286"/>
      <c r="Z144" s="286"/>
      <c r="AA144" s="286"/>
      <c r="AB144" s="286"/>
      <c r="AC144" s="286"/>
      <c r="AD144" s="286"/>
      <c r="AE144" s="286"/>
      <c r="AF144" s="286"/>
      <c r="AG144" s="286"/>
      <c r="AH144" s="286"/>
      <c r="AI144" s="286"/>
      <c r="AJ144" s="286"/>
      <c r="AK144" s="287"/>
      <c r="AL144" s="288"/>
      <c r="AM144" s="287"/>
      <c r="AN144" s="287"/>
      <c r="AO144" s="287"/>
      <c r="AP144" s="286"/>
      <c r="AQ144" s="296"/>
      <c r="AR144" s="286"/>
      <c r="AS144" s="286"/>
      <c r="AT144" s="286"/>
      <c r="AU144" s="286"/>
      <c r="AV144" s="286"/>
      <c r="AW144" s="286"/>
      <c r="AX144" s="286"/>
      <c r="AY144" s="286"/>
      <c r="AZ144" s="286"/>
      <c r="BA144" s="286"/>
      <c r="BB144" s="286"/>
      <c r="BC144" s="286">
        <v>33</v>
      </c>
      <c r="BD144" s="287"/>
      <c r="BE144" s="287"/>
      <c r="BF144" s="287"/>
      <c r="BG144" s="287"/>
      <c r="BH144" s="287"/>
      <c r="BI144" s="287"/>
      <c r="BJ144" s="287"/>
      <c r="BK144" s="287"/>
      <c r="BL144" s="287"/>
      <c r="BM144" s="287"/>
      <c r="BN144" s="287"/>
      <c r="BO144" s="287"/>
      <c r="BP144" s="287"/>
      <c r="BQ144" s="287"/>
      <c r="BR144" s="287"/>
      <c r="BS144" s="287"/>
      <c r="BT144" s="287"/>
      <c r="BU144" s="287"/>
      <c r="BV144" s="287"/>
      <c r="BW144" s="287"/>
      <c r="BX144" s="286"/>
      <c r="BY144" s="289"/>
      <c r="BZ144" s="289"/>
      <c r="CA144" s="289"/>
      <c r="CB144" s="289"/>
      <c r="CC144" s="289"/>
      <c r="CD144" s="289"/>
      <c r="CE144" s="289"/>
      <c r="CF144" s="289"/>
      <c r="CG144" s="287"/>
      <c r="CH144" s="287"/>
      <c r="CI144" s="287"/>
      <c r="CJ144" s="287"/>
      <c r="CK144" s="287"/>
      <c r="CL144" s="287"/>
      <c r="CM144" s="287"/>
      <c r="CN144" s="287"/>
      <c r="CO144" s="287"/>
      <c r="CP144" s="287"/>
      <c r="CQ144" s="287"/>
      <c r="CR144" s="287"/>
      <c r="CS144" s="6"/>
      <c r="CT144" s="6"/>
      <c r="CU144" s="6"/>
      <c r="CV144" s="6"/>
      <c r="CW144" s="6"/>
      <c r="CX144" s="6"/>
      <c r="CY144" s="6"/>
      <c r="CZ144" s="6"/>
      <c r="DA144" s="343">
        <f t="shared" si="5"/>
        <v>25.333333333333332</v>
      </c>
      <c r="DH144" s="237"/>
    </row>
    <row r="145" spans="1:112" ht="20" customHeight="1" x14ac:dyDescent="0.35">
      <c r="A145" s="290"/>
      <c r="B145" s="270" t="s">
        <v>781</v>
      </c>
      <c r="C145" s="270" t="s">
        <v>1596</v>
      </c>
      <c r="D145" s="297" t="s">
        <v>339</v>
      </c>
      <c r="E145" s="270" t="s">
        <v>607</v>
      </c>
      <c r="F145" s="270" t="s">
        <v>410</v>
      </c>
      <c r="G145" s="270" t="s">
        <v>33</v>
      </c>
      <c r="H145" s="298">
        <v>29</v>
      </c>
      <c r="I145" s="292"/>
      <c r="J145" s="286"/>
      <c r="K145" s="286"/>
      <c r="L145" s="286"/>
      <c r="M145" s="286"/>
      <c r="N145" s="286"/>
      <c r="O145" s="286"/>
      <c r="P145" s="286"/>
      <c r="Q145" s="286"/>
      <c r="R145" s="286"/>
      <c r="S145" s="286"/>
      <c r="T145" s="286"/>
      <c r="U145" s="286"/>
      <c r="V145" s="294"/>
      <c r="W145" s="286"/>
      <c r="X145" s="286"/>
      <c r="Y145" s="286"/>
      <c r="Z145" s="286"/>
      <c r="AA145" s="286"/>
      <c r="AB145" s="286"/>
      <c r="AC145" s="286"/>
      <c r="AD145" s="286"/>
      <c r="AE145" s="286"/>
      <c r="AF145" s="286"/>
      <c r="AG145" s="286"/>
      <c r="AH145" s="286"/>
      <c r="AI145" s="286"/>
      <c r="AJ145" s="286"/>
      <c r="AK145" s="295"/>
      <c r="AL145" s="288"/>
      <c r="AM145" s="287"/>
      <c r="AN145" s="287"/>
      <c r="AO145" s="287"/>
      <c r="AP145" s="286"/>
      <c r="AQ145" s="296"/>
      <c r="AR145" s="286"/>
      <c r="AS145" s="286"/>
      <c r="AT145" s="286"/>
      <c r="AU145" s="286"/>
      <c r="AV145" s="286"/>
      <c r="AW145" s="286">
        <v>30</v>
      </c>
      <c r="AX145" s="286"/>
      <c r="AY145" s="286"/>
      <c r="AZ145" s="286"/>
      <c r="BA145" s="286"/>
      <c r="BB145" s="286"/>
      <c r="BC145" s="286"/>
      <c r="BD145" s="287"/>
      <c r="BE145" s="287"/>
      <c r="BF145" s="287"/>
      <c r="BG145" s="287"/>
      <c r="BH145" s="287"/>
      <c r="BI145" s="287"/>
      <c r="BJ145" s="287"/>
      <c r="BK145" s="287"/>
      <c r="BL145" s="287"/>
      <c r="BM145" s="287"/>
      <c r="BN145" s="287"/>
      <c r="BO145" s="287"/>
      <c r="BP145" s="287"/>
      <c r="BQ145" s="287"/>
      <c r="BR145" s="287"/>
      <c r="BS145" s="287"/>
      <c r="BT145" s="287"/>
      <c r="BU145" s="287"/>
      <c r="BV145" s="287"/>
      <c r="BW145" s="287"/>
      <c r="BX145" s="286"/>
      <c r="BY145" s="289"/>
      <c r="BZ145" s="289"/>
      <c r="CA145" s="289"/>
      <c r="CB145" s="289"/>
      <c r="CC145" s="289"/>
      <c r="CD145" s="289"/>
      <c r="CE145" s="289"/>
      <c r="CF145" s="289"/>
      <c r="CG145" s="287"/>
      <c r="CH145" s="287"/>
      <c r="CI145" s="287"/>
      <c r="CJ145" s="287"/>
      <c r="CK145" s="287"/>
      <c r="CL145" s="287"/>
      <c r="CM145" s="287"/>
      <c r="CN145" s="287"/>
      <c r="CO145" s="287"/>
      <c r="CP145" s="287"/>
      <c r="CQ145" s="287"/>
      <c r="CR145" s="287"/>
      <c r="CS145" s="288">
        <f>I145</f>
        <v>0</v>
      </c>
      <c r="CT145" s="6"/>
      <c r="CU145" s="6"/>
      <c r="CV145" s="6"/>
      <c r="CW145" s="6"/>
      <c r="CX145" s="6"/>
      <c r="CY145" s="6"/>
      <c r="CZ145" s="6"/>
      <c r="DA145" s="343">
        <f t="shared" si="5"/>
        <v>29</v>
      </c>
      <c r="DH145" s="237"/>
    </row>
    <row r="146" spans="1:112" ht="20" customHeight="1" x14ac:dyDescent="0.35">
      <c r="A146" s="290"/>
      <c r="B146" s="270" t="s">
        <v>782</v>
      </c>
      <c r="C146" s="270" t="s">
        <v>1301</v>
      </c>
      <c r="D146" s="297" t="s">
        <v>606</v>
      </c>
      <c r="E146" s="270" t="s">
        <v>34</v>
      </c>
      <c r="F146" s="270" t="s">
        <v>422</v>
      </c>
      <c r="G146" s="270" t="s">
        <v>44</v>
      </c>
      <c r="H146" s="298">
        <v>120</v>
      </c>
      <c r="I146" s="292"/>
      <c r="J146" s="286"/>
      <c r="K146" s="286"/>
      <c r="L146" s="286"/>
      <c r="M146" s="286"/>
      <c r="N146" s="286"/>
      <c r="O146" s="286"/>
      <c r="P146" s="286"/>
      <c r="Q146" s="286"/>
      <c r="R146" s="286"/>
      <c r="S146" s="286"/>
      <c r="T146" s="286"/>
      <c r="U146" s="286"/>
      <c r="V146" s="294"/>
      <c r="W146" s="286"/>
      <c r="X146" s="286"/>
      <c r="Y146" s="286"/>
      <c r="Z146" s="286"/>
      <c r="AA146" s="286"/>
      <c r="AB146" s="286"/>
      <c r="AC146" s="286"/>
      <c r="AD146" s="286"/>
      <c r="AE146" s="286"/>
      <c r="AF146" s="286"/>
      <c r="AG146" s="286">
        <v>150</v>
      </c>
      <c r="AH146" s="286"/>
      <c r="AI146" s="286"/>
      <c r="AJ146" s="286"/>
      <c r="AK146" s="287"/>
      <c r="AL146" s="288"/>
      <c r="AM146" s="287"/>
      <c r="AN146" s="287"/>
      <c r="AO146" s="287"/>
      <c r="AP146" s="286"/>
      <c r="AQ146" s="296"/>
      <c r="AR146" s="286"/>
      <c r="AS146" s="286"/>
      <c r="AT146" s="28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7"/>
      <c r="BE146" s="287"/>
      <c r="BF146" s="287"/>
      <c r="BG146" s="287"/>
      <c r="BH146" s="287"/>
      <c r="BI146" s="287"/>
      <c r="BJ146" s="287"/>
      <c r="BK146" s="287"/>
      <c r="BL146" s="287"/>
      <c r="BM146" s="287"/>
      <c r="BN146" s="287"/>
      <c r="BO146" s="287"/>
      <c r="BP146" s="287"/>
      <c r="BQ146" s="287"/>
      <c r="BR146" s="287"/>
      <c r="BS146" s="287"/>
      <c r="BT146" s="287"/>
      <c r="BU146" s="287"/>
      <c r="BV146" s="287"/>
      <c r="BW146" s="287"/>
      <c r="BX146" s="286"/>
      <c r="BY146" s="289"/>
      <c r="BZ146" s="289"/>
      <c r="CA146" s="289"/>
      <c r="CB146" s="289"/>
      <c r="CC146" s="289"/>
      <c r="CD146" s="289"/>
      <c r="CE146" s="289"/>
      <c r="CF146" s="289"/>
      <c r="CG146" s="287"/>
      <c r="CH146" s="287"/>
      <c r="CI146" s="287"/>
      <c r="CJ146" s="287"/>
      <c r="CK146" s="287"/>
      <c r="CL146" s="287"/>
      <c r="CM146" s="287"/>
      <c r="CN146" s="287"/>
      <c r="CO146" s="287"/>
      <c r="CP146" s="287"/>
      <c r="CQ146" s="287"/>
      <c r="CR146" s="287"/>
      <c r="CS146" s="6"/>
      <c r="CT146" s="6"/>
      <c r="CU146" s="6"/>
      <c r="CV146" s="6"/>
      <c r="CW146" s="6"/>
      <c r="CX146" s="6"/>
      <c r="CY146" s="6"/>
      <c r="CZ146" s="6"/>
      <c r="DA146" s="343">
        <f t="shared" si="5"/>
        <v>120</v>
      </c>
      <c r="DH146" s="237"/>
    </row>
    <row r="147" spans="1:112" ht="20" customHeight="1" x14ac:dyDescent="0.35">
      <c r="A147" s="290"/>
      <c r="B147" s="270" t="s">
        <v>783</v>
      </c>
      <c r="C147" s="270" t="s">
        <v>1301</v>
      </c>
      <c r="D147" s="297" t="s">
        <v>606</v>
      </c>
      <c r="E147" s="270" t="s">
        <v>34</v>
      </c>
      <c r="F147" s="270" t="s">
        <v>62</v>
      </c>
      <c r="G147" s="270" t="s">
        <v>44</v>
      </c>
      <c r="H147" s="298">
        <f>H146/25</f>
        <v>4.8</v>
      </c>
      <c r="I147" s="292"/>
      <c r="J147" s="286"/>
      <c r="K147" s="286"/>
      <c r="L147" s="286"/>
      <c r="M147" s="286"/>
      <c r="N147" s="286"/>
      <c r="O147" s="286">
        <v>6.5</v>
      </c>
      <c r="P147" s="286"/>
      <c r="Q147" s="286"/>
      <c r="R147" s="286"/>
      <c r="S147" s="286"/>
      <c r="T147" s="286"/>
      <c r="U147" s="286"/>
      <c r="V147" s="294"/>
      <c r="W147" s="286"/>
      <c r="X147" s="286"/>
      <c r="Y147" s="286"/>
      <c r="Z147" s="286"/>
      <c r="AA147" s="286"/>
      <c r="AB147" s="286"/>
      <c r="AC147" s="286"/>
      <c r="AD147" s="286"/>
      <c r="AE147" s="286"/>
      <c r="AF147" s="286"/>
      <c r="AG147" s="286">
        <v>6.5</v>
      </c>
      <c r="AH147" s="286"/>
      <c r="AI147" s="286"/>
      <c r="AJ147" s="286"/>
      <c r="AK147" s="287"/>
      <c r="AL147" s="288"/>
      <c r="AM147" s="287"/>
      <c r="AN147" s="287"/>
      <c r="AO147" s="287"/>
      <c r="AP147" s="286"/>
      <c r="AQ147" s="296"/>
      <c r="AR147" s="286"/>
      <c r="AS147" s="286"/>
      <c r="AT147" s="28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7"/>
      <c r="BE147" s="287"/>
      <c r="BF147" s="287"/>
      <c r="BG147" s="288">
        <v>6.5</v>
      </c>
      <c r="BH147" s="287"/>
      <c r="BI147" s="287"/>
      <c r="BJ147" s="287"/>
      <c r="BK147" s="287"/>
      <c r="BL147" s="287"/>
      <c r="BM147" s="287"/>
      <c r="BN147" s="287"/>
      <c r="BO147" s="287"/>
      <c r="BP147" s="287"/>
      <c r="BQ147" s="287"/>
      <c r="BR147" s="287"/>
      <c r="BS147" s="287"/>
      <c r="BT147" s="287"/>
      <c r="BU147" s="287"/>
      <c r="BV147" s="287"/>
      <c r="BW147" s="287"/>
      <c r="BX147" s="286"/>
      <c r="BY147" s="289"/>
      <c r="BZ147" s="289"/>
      <c r="CA147" s="289"/>
      <c r="CB147" s="289"/>
      <c r="CC147" s="289"/>
      <c r="CD147" s="289"/>
      <c r="CE147" s="289"/>
      <c r="CF147" s="289"/>
      <c r="CG147" s="287"/>
      <c r="CH147" s="287"/>
      <c r="CI147" s="287"/>
      <c r="CJ147" s="287"/>
      <c r="CK147" s="287"/>
      <c r="CL147" s="287"/>
      <c r="CM147" s="287"/>
      <c r="CN147" s="287"/>
      <c r="CO147" s="287"/>
      <c r="CP147" s="287"/>
      <c r="CQ147" s="287"/>
      <c r="CR147" s="287"/>
      <c r="CS147" s="6"/>
      <c r="CT147" s="6"/>
      <c r="CU147" s="6"/>
      <c r="CV147" s="6"/>
      <c r="CW147" s="6"/>
      <c r="CX147" s="6"/>
      <c r="CY147" s="6"/>
      <c r="CZ147" s="6"/>
      <c r="DA147" s="343">
        <f t="shared" si="5"/>
        <v>4.8</v>
      </c>
      <c r="DH147" s="237"/>
    </row>
    <row r="148" spans="1:112" ht="20" customHeight="1" x14ac:dyDescent="0.35">
      <c r="A148" s="290"/>
      <c r="B148" s="270" t="s">
        <v>784</v>
      </c>
      <c r="C148" s="270" t="s">
        <v>224</v>
      </c>
      <c r="D148" s="297" t="s">
        <v>632</v>
      </c>
      <c r="E148" s="270" t="s">
        <v>497</v>
      </c>
      <c r="F148" s="270" t="s">
        <v>422</v>
      </c>
      <c r="G148" s="270" t="s">
        <v>39</v>
      </c>
      <c r="H148" s="298">
        <v>25.5</v>
      </c>
      <c r="I148" s="292"/>
      <c r="J148" s="286"/>
      <c r="K148" s="286"/>
      <c r="L148" s="286"/>
      <c r="M148" s="286"/>
      <c r="N148" s="286"/>
      <c r="O148" s="286"/>
      <c r="P148" s="286"/>
      <c r="Q148" s="286"/>
      <c r="R148" s="286"/>
      <c r="S148" s="286"/>
      <c r="T148" s="286"/>
      <c r="U148" s="286"/>
      <c r="V148" s="294"/>
      <c r="W148" s="286"/>
      <c r="X148" s="286"/>
      <c r="Y148" s="286"/>
      <c r="Z148" s="286"/>
      <c r="AA148" s="286"/>
      <c r="AB148" s="286"/>
      <c r="AC148" s="286"/>
      <c r="AD148" s="286"/>
      <c r="AE148" s="286"/>
      <c r="AF148" s="286"/>
      <c r="AG148" s="286"/>
      <c r="AH148" s="286"/>
      <c r="AI148" s="286"/>
      <c r="AJ148" s="286"/>
      <c r="AK148" s="287"/>
      <c r="AL148" s="288"/>
      <c r="AM148" s="287"/>
      <c r="AN148" s="287"/>
      <c r="AO148" s="287"/>
      <c r="AP148" s="286"/>
      <c r="AQ148" s="296"/>
      <c r="AR148" s="286"/>
      <c r="AS148" s="286"/>
      <c r="AT148" s="28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7"/>
      <c r="BE148" s="287"/>
      <c r="BF148" s="287"/>
      <c r="BG148" s="287"/>
      <c r="BH148" s="287"/>
      <c r="BI148" s="287"/>
      <c r="BJ148" s="287"/>
      <c r="BK148" s="287"/>
      <c r="BL148" s="287"/>
      <c r="BM148" s="287"/>
      <c r="BN148" s="287"/>
      <c r="BO148" s="287"/>
      <c r="BP148" s="287"/>
      <c r="BQ148" s="287"/>
      <c r="BR148" s="287"/>
      <c r="BS148" s="287"/>
      <c r="BT148" s="287"/>
      <c r="BU148" s="287"/>
      <c r="BV148" s="287"/>
      <c r="BW148" s="287"/>
      <c r="BX148" s="286"/>
      <c r="BY148" s="289"/>
      <c r="BZ148" s="289"/>
      <c r="CA148" s="289"/>
      <c r="CB148" s="289"/>
      <c r="CC148" s="289"/>
      <c r="CD148" s="289"/>
      <c r="CE148" s="289"/>
      <c r="CF148" s="289"/>
      <c r="CG148" s="287"/>
      <c r="CH148" s="287"/>
      <c r="CI148" s="287"/>
      <c r="CJ148" s="287"/>
      <c r="CK148" s="287"/>
      <c r="CL148" s="287"/>
      <c r="CM148" s="287"/>
      <c r="CN148" s="287"/>
      <c r="CO148" s="287"/>
      <c r="CP148" s="287"/>
      <c r="CQ148" s="287"/>
      <c r="CR148" s="287"/>
      <c r="CS148" s="6"/>
      <c r="CT148" s="6"/>
      <c r="CU148" s="6"/>
      <c r="CV148" s="6"/>
      <c r="CW148" s="6"/>
      <c r="CX148" s="6"/>
      <c r="CY148" s="6"/>
      <c r="CZ148" s="6"/>
      <c r="DA148" s="343">
        <f t="shared" si="5"/>
        <v>25.5</v>
      </c>
      <c r="DH148" s="237"/>
    </row>
    <row r="149" spans="1:112" ht="20" customHeight="1" x14ac:dyDescent="0.35">
      <c r="A149" s="290"/>
      <c r="B149" s="270" t="s">
        <v>785</v>
      </c>
      <c r="C149" s="270" t="s">
        <v>224</v>
      </c>
      <c r="D149" s="297" t="s">
        <v>632</v>
      </c>
      <c r="E149" s="270" t="s">
        <v>497</v>
      </c>
      <c r="F149" s="270" t="s">
        <v>662</v>
      </c>
      <c r="G149" s="270" t="s">
        <v>39</v>
      </c>
      <c r="H149" s="298">
        <v>31</v>
      </c>
      <c r="I149" s="292"/>
      <c r="J149" s="286"/>
      <c r="K149" s="286"/>
      <c r="L149" s="286"/>
      <c r="M149" s="286"/>
      <c r="N149" s="286"/>
      <c r="O149" s="286">
        <v>41</v>
      </c>
      <c r="P149" s="286"/>
      <c r="Q149" s="286"/>
      <c r="R149" s="286"/>
      <c r="S149" s="286"/>
      <c r="T149" s="286"/>
      <c r="U149" s="286"/>
      <c r="V149" s="294"/>
      <c r="W149" s="286"/>
      <c r="X149" s="286"/>
      <c r="Y149" s="286"/>
      <c r="Z149" s="286"/>
      <c r="AA149" s="286"/>
      <c r="AB149" s="286"/>
      <c r="AC149" s="286"/>
      <c r="AD149" s="286"/>
      <c r="AE149" s="286"/>
      <c r="AF149" s="286"/>
      <c r="AG149" s="286"/>
      <c r="AH149" s="286"/>
      <c r="AI149" s="286"/>
      <c r="AJ149" s="286"/>
      <c r="AK149" s="287"/>
      <c r="AL149" s="288"/>
      <c r="AM149" s="287"/>
      <c r="AN149" s="287"/>
      <c r="AO149" s="287"/>
      <c r="AP149" s="286"/>
      <c r="AQ149" s="296"/>
      <c r="AR149" s="286"/>
      <c r="AS149" s="286"/>
      <c r="AT149" s="28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7"/>
      <c r="BE149" s="287"/>
      <c r="BF149" s="287"/>
      <c r="BG149" s="287"/>
      <c r="BH149" s="287"/>
      <c r="BI149" s="287"/>
      <c r="BJ149" s="287"/>
      <c r="BK149" s="287"/>
      <c r="BL149" s="287"/>
      <c r="BM149" s="287"/>
      <c r="BN149" s="287"/>
      <c r="BO149" s="287"/>
      <c r="BP149" s="287"/>
      <c r="BQ149" s="287"/>
      <c r="BR149" s="287"/>
      <c r="BS149" s="287"/>
      <c r="BT149" s="287"/>
      <c r="BU149" s="287"/>
      <c r="BV149" s="287"/>
      <c r="BW149" s="287"/>
      <c r="BX149" s="286"/>
      <c r="BY149" s="289"/>
      <c r="BZ149" s="289"/>
      <c r="CA149" s="289"/>
      <c r="CB149" s="289"/>
      <c r="CC149" s="289"/>
      <c r="CD149" s="289"/>
      <c r="CE149" s="289"/>
      <c r="CF149" s="289"/>
      <c r="CG149" s="287"/>
      <c r="CH149" s="287"/>
      <c r="CI149" s="287"/>
      <c r="CJ149" s="287"/>
      <c r="CK149" s="287"/>
      <c r="CL149" s="287"/>
      <c r="CM149" s="287"/>
      <c r="CN149" s="287"/>
      <c r="CO149" s="287"/>
      <c r="CP149" s="287"/>
      <c r="CQ149" s="287"/>
      <c r="CR149" s="287"/>
      <c r="CS149" s="6"/>
      <c r="CT149" s="6"/>
      <c r="CU149" s="6"/>
      <c r="CV149" s="6"/>
      <c r="CW149" s="6"/>
      <c r="CX149" s="6"/>
      <c r="CY149" s="6"/>
      <c r="CZ149" s="6"/>
      <c r="DA149" s="343">
        <f t="shared" si="5"/>
        <v>31</v>
      </c>
      <c r="DH149" s="237"/>
    </row>
    <row r="150" spans="1:112" ht="20" customHeight="1" x14ac:dyDescent="0.35">
      <c r="A150" s="290"/>
      <c r="B150" s="270" t="s">
        <v>786</v>
      </c>
      <c r="C150" s="270" t="s">
        <v>224</v>
      </c>
      <c r="D150" s="297" t="s">
        <v>632</v>
      </c>
      <c r="E150" s="270" t="s">
        <v>497</v>
      </c>
      <c r="F150" s="270" t="s">
        <v>1807</v>
      </c>
      <c r="G150" s="270" t="s">
        <v>39</v>
      </c>
      <c r="H150" s="298">
        <f>H149/50</f>
        <v>0.62</v>
      </c>
      <c r="I150" s="292">
        <v>0.9</v>
      </c>
      <c r="J150" s="292">
        <v>0.8</v>
      </c>
      <c r="K150" s="286"/>
      <c r="L150" s="286"/>
      <c r="M150" s="286"/>
      <c r="N150" s="292">
        <v>0.9</v>
      </c>
      <c r="O150" s="286">
        <v>0.9</v>
      </c>
      <c r="P150" s="292">
        <v>0.9</v>
      </c>
      <c r="Q150" s="286"/>
      <c r="R150" s="286">
        <v>0.9</v>
      </c>
      <c r="S150" s="286"/>
      <c r="T150" s="286">
        <v>0.8</v>
      </c>
      <c r="U150" s="286"/>
      <c r="V150" s="294"/>
      <c r="W150" s="286"/>
      <c r="X150" s="286"/>
      <c r="Y150" s="286"/>
      <c r="Z150" s="286"/>
      <c r="AA150" s="286"/>
      <c r="AB150" s="286"/>
      <c r="AC150" s="286"/>
      <c r="AD150" s="286">
        <v>0.8</v>
      </c>
      <c r="AE150" s="286"/>
      <c r="AF150" s="286"/>
      <c r="AG150" s="286"/>
      <c r="AH150" s="286"/>
      <c r="AI150" s="286"/>
      <c r="AJ150" s="286"/>
      <c r="AK150" s="287"/>
      <c r="AL150" s="288"/>
      <c r="AM150" s="287"/>
      <c r="AN150" s="287"/>
      <c r="AO150" s="286">
        <v>0.8</v>
      </c>
      <c r="AP150" s="286">
        <v>0.8</v>
      </c>
      <c r="AQ150" s="296">
        <v>0.95</v>
      </c>
      <c r="AR150" s="286">
        <v>0.8</v>
      </c>
      <c r="AS150" s="286"/>
      <c r="AT150" s="286">
        <v>0.8</v>
      </c>
      <c r="AU150" s="286">
        <v>0.8</v>
      </c>
      <c r="AV150" s="286">
        <v>0.8</v>
      </c>
      <c r="AW150" s="286"/>
      <c r="AX150" s="286">
        <v>0.8</v>
      </c>
      <c r="AY150" s="286">
        <v>0.8</v>
      </c>
      <c r="AZ150" s="286">
        <v>0.8</v>
      </c>
      <c r="BA150" s="286">
        <v>0.8</v>
      </c>
      <c r="BB150" s="286">
        <f>BA150</f>
        <v>0.8</v>
      </c>
      <c r="BC150" s="286">
        <v>0.8</v>
      </c>
      <c r="BD150" s="287"/>
      <c r="BE150" s="287"/>
      <c r="BF150" s="287"/>
      <c r="BG150" s="288">
        <v>0.85</v>
      </c>
      <c r="BH150" s="287">
        <v>0.8</v>
      </c>
      <c r="BI150" s="287"/>
      <c r="BJ150" s="287"/>
      <c r="BK150" s="287"/>
      <c r="BL150" s="287"/>
      <c r="BM150" s="287"/>
      <c r="BN150" s="287"/>
      <c r="BO150" s="287"/>
      <c r="BP150" s="287"/>
      <c r="BQ150" s="287"/>
      <c r="BR150" s="287"/>
      <c r="BS150" s="287"/>
      <c r="BT150" s="287"/>
      <c r="BU150" s="287"/>
      <c r="BV150" s="287"/>
      <c r="BW150" s="287"/>
      <c r="BX150" s="286"/>
      <c r="BY150" s="289"/>
      <c r="BZ150" s="289">
        <v>0.8</v>
      </c>
      <c r="CA150" s="289"/>
      <c r="CB150" s="289"/>
      <c r="CC150" s="289"/>
      <c r="CD150" s="289"/>
      <c r="CE150" s="289"/>
      <c r="CF150" s="289"/>
      <c r="CG150" s="287"/>
      <c r="CH150" s="287"/>
      <c r="CI150" s="287"/>
      <c r="CJ150" s="287"/>
      <c r="CK150" s="287"/>
      <c r="CL150" s="287"/>
      <c r="CM150" s="287"/>
      <c r="CN150" s="292">
        <v>0.8</v>
      </c>
      <c r="CO150" s="287"/>
      <c r="CP150" s="287"/>
      <c r="CQ150" s="287">
        <v>0.9</v>
      </c>
      <c r="CR150" s="287"/>
      <c r="CS150" s="288">
        <f>I150</f>
        <v>0.9</v>
      </c>
      <c r="CT150" s="6"/>
      <c r="CU150" s="6"/>
      <c r="CV150" s="6"/>
      <c r="CW150" s="6"/>
      <c r="CX150" s="6"/>
      <c r="CY150" s="6"/>
      <c r="CZ150" s="6"/>
      <c r="DA150" s="343">
        <f t="shared" si="5"/>
        <v>0.62</v>
      </c>
      <c r="DH150" s="237"/>
    </row>
    <row r="151" spans="1:112" ht="20" customHeight="1" x14ac:dyDescent="0.35">
      <c r="A151" s="290"/>
      <c r="B151" s="270" t="s">
        <v>787</v>
      </c>
      <c r="C151" s="270" t="s">
        <v>241</v>
      </c>
      <c r="D151" s="297" t="s">
        <v>630</v>
      </c>
      <c r="E151" s="270" t="s">
        <v>369</v>
      </c>
      <c r="F151" s="270" t="s">
        <v>1806</v>
      </c>
      <c r="G151" s="270" t="s">
        <v>33</v>
      </c>
      <c r="H151" s="298">
        <v>33.6</v>
      </c>
      <c r="I151" s="292">
        <v>40</v>
      </c>
      <c r="J151" s="292">
        <v>41</v>
      </c>
      <c r="K151" s="286"/>
      <c r="L151" s="286"/>
      <c r="M151" s="286"/>
      <c r="N151" s="286"/>
      <c r="O151" s="286"/>
      <c r="P151" s="286"/>
      <c r="Q151" s="286"/>
      <c r="R151" s="286"/>
      <c r="S151" s="286"/>
      <c r="T151" s="286"/>
      <c r="U151" s="286"/>
      <c r="V151" s="294"/>
      <c r="W151" s="286"/>
      <c r="X151" s="286"/>
      <c r="Y151" s="286"/>
      <c r="Z151" s="286"/>
      <c r="AA151" s="286"/>
      <c r="AB151" s="286"/>
      <c r="AC151" s="286"/>
      <c r="AD151" s="286"/>
      <c r="AE151" s="286"/>
      <c r="AF151" s="286"/>
      <c r="AG151" s="286"/>
      <c r="AH151" s="286"/>
      <c r="AI151" s="286"/>
      <c r="AJ151" s="286"/>
      <c r="AK151" s="287"/>
      <c r="AL151" s="288"/>
      <c r="AM151" s="287"/>
      <c r="AN151" s="287"/>
      <c r="AO151" s="286">
        <v>41</v>
      </c>
      <c r="AP151" s="286">
        <v>41</v>
      </c>
      <c r="AQ151" s="296"/>
      <c r="AR151" s="286">
        <v>41</v>
      </c>
      <c r="AS151" s="286"/>
      <c r="AT151" s="286">
        <v>41</v>
      </c>
      <c r="AU151" s="286">
        <v>41</v>
      </c>
      <c r="AV151" s="286">
        <v>41</v>
      </c>
      <c r="AW151" s="286"/>
      <c r="AX151" s="286">
        <v>41</v>
      </c>
      <c r="AY151" s="286"/>
      <c r="AZ151" s="286">
        <v>41</v>
      </c>
      <c r="BA151" s="286"/>
      <c r="BB151" s="286"/>
      <c r="BC151" s="286">
        <v>41</v>
      </c>
      <c r="BD151" s="287"/>
      <c r="BE151" s="287"/>
      <c r="BF151" s="287"/>
      <c r="BG151" s="288">
        <v>40</v>
      </c>
      <c r="BH151" s="287"/>
      <c r="BI151" s="287"/>
      <c r="BJ151" s="287"/>
      <c r="BK151" s="287"/>
      <c r="BL151" s="287"/>
      <c r="BM151" s="287"/>
      <c r="BN151" s="287"/>
      <c r="BO151" s="287"/>
      <c r="BP151" s="287"/>
      <c r="BQ151" s="287"/>
      <c r="BR151" s="287"/>
      <c r="BS151" s="287"/>
      <c r="BT151" s="287"/>
      <c r="BU151" s="287"/>
      <c r="BV151" s="287"/>
      <c r="BW151" s="287"/>
      <c r="BX151" s="286"/>
      <c r="BY151" s="289"/>
      <c r="BZ151" s="289">
        <v>0</v>
      </c>
      <c r="CA151" s="289"/>
      <c r="CB151" s="289"/>
      <c r="CC151" s="289"/>
      <c r="CD151" s="289"/>
      <c r="CE151" s="289"/>
      <c r="CF151" s="289"/>
      <c r="CG151" s="287"/>
      <c r="CH151" s="287"/>
      <c r="CI151" s="287"/>
      <c r="CJ151" s="287"/>
      <c r="CK151" s="287"/>
      <c r="CL151" s="287"/>
      <c r="CM151" s="287"/>
      <c r="CN151" s="287"/>
      <c r="CO151" s="292">
        <v>41</v>
      </c>
      <c r="CP151" s="287"/>
      <c r="CQ151" s="287">
        <v>42</v>
      </c>
      <c r="CR151" s="287"/>
      <c r="CS151" s="288">
        <f>I151</f>
        <v>40</v>
      </c>
      <c r="CT151" s="6"/>
      <c r="CU151" s="6"/>
      <c r="CV151" s="6"/>
      <c r="CW151" s="6"/>
      <c r="CX151" s="6"/>
      <c r="CY151" s="6"/>
      <c r="CZ151" s="6"/>
      <c r="DA151" s="343">
        <f t="shared" si="5"/>
        <v>33.6</v>
      </c>
      <c r="DH151" s="237"/>
    </row>
    <row r="152" spans="1:112" ht="20" customHeight="1" x14ac:dyDescent="0.35">
      <c r="A152" s="290"/>
      <c r="B152" s="270" t="s">
        <v>788</v>
      </c>
      <c r="C152" s="270" t="s">
        <v>241</v>
      </c>
      <c r="D152" s="297" t="s">
        <v>632</v>
      </c>
      <c r="E152" s="270" t="s">
        <v>369</v>
      </c>
      <c r="F152" s="270" t="s">
        <v>2293</v>
      </c>
      <c r="G152" s="270" t="s">
        <v>39</v>
      </c>
      <c r="H152" s="298">
        <v>11.7</v>
      </c>
      <c r="I152" s="292">
        <v>14</v>
      </c>
      <c r="J152" s="286"/>
      <c r="K152" s="286"/>
      <c r="L152" s="286"/>
      <c r="M152" s="286"/>
      <c r="N152" s="286"/>
      <c r="O152" s="286"/>
      <c r="P152" s="292">
        <v>18.5</v>
      </c>
      <c r="Q152" s="286"/>
      <c r="R152" s="286"/>
      <c r="S152" s="286"/>
      <c r="T152" s="286"/>
      <c r="U152" s="286"/>
      <c r="V152" s="294"/>
      <c r="W152" s="286"/>
      <c r="X152" s="286"/>
      <c r="Y152" s="286"/>
      <c r="Z152" s="286"/>
      <c r="AA152" s="286"/>
      <c r="AB152" s="286"/>
      <c r="AC152" s="286"/>
      <c r="AD152" s="286"/>
      <c r="AE152" s="286"/>
      <c r="AF152" s="286"/>
      <c r="AG152" s="286"/>
      <c r="AH152" s="286"/>
      <c r="AI152" s="286"/>
      <c r="AJ152" s="286"/>
      <c r="AK152" s="295"/>
      <c r="AL152" s="288"/>
      <c r="AM152" s="287"/>
      <c r="AN152" s="287"/>
      <c r="AO152" s="287"/>
      <c r="AP152" s="286"/>
      <c r="AQ152" s="296"/>
      <c r="AR152" s="286"/>
      <c r="AS152" s="286"/>
      <c r="AT152" s="28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7"/>
      <c r="BE152" s="287"/>
      <c r="BF152" s="287"/>
      <c r="BG152" s="288">
        <v>15</v>
      </c>
      <c r="BH152" s="287"/>
      <c r="BI152" s="287"/>
      <c r="BJ152" s="287"/>
      <c r="BK152" s="287"/>
      <c r="BL152" s="287"/>
      <c r="BM152" s="287"/>
      <c r="BN152" s="287"/>
      <c r="BO152" s="287"/>
      <c r="BP152" s="287"/>
      <c r="BQ152" s="287"/>
      <c r="BR152" s="287"/>
      <c r="BS152" s="287"/>
      <c r="BT152" s="287"/>
      <c r="BU152" s="287"/>
      <c r="BV152" s="287"/>
      <c r="BW152" s="287"/>
      <c r="BX152" s="286"/>
      <c r="BY152" s="289"/>
      <c r="BZ152" s="289"/>
      <c r="CA152" s="289"/>
      <c r="CB152" s="289"/>
      <c r="CC152" s="289"/>
      <c r="CD152" s="289"/>
      <c r="CE152" s="289"/>
      <c r="CF152" s="289"/>
      <c r="CG152" s="287"/>
      <c r="CH152" s="287"/>
      <c r="CI152" s="287"/>
      <c r="CJ152" s="287"/>
      <c r="CK152" s="287"/>
      <c r="CL152" s="287"/>
      <c r="CM152" s="287"/>
      <c r="CN152" s="287"/>
      <c r="CO152" s="287"/>
      <c r="CP152" s="287"/>
      <c r="CQ152" s="287">
        <v>14</v>
      </c>
      <c r="CR152" s="287"/>
      <c r="CS152" s="288">
        <f>I152</f>
        <v>14</v>
      </c>
      <c r="CT152" s="6"/>
      <c r="CU152" s="6"/>
      <c r="CV152" s="6"/>
      <c r="CW152" s="6"/>
      <c r="CX152" s="6"/>
      <c r="CY152" s="6"/>
      <c r="CZ152" s="6"/>
      <c r="DA152" s="343">
        <f t="shared" si="5"/>
        <v>11.7</v>
      </c>
      <c r="DH152" s="237"/>
    </row>
    <row r="153" spans="1:112" ht="20" customHeight="1" x14ac:dyDescent="0.35">
      <c r="A153" s="290"/>
      <c r="B153" s="270" t="s">
        <v>790</v>
      </c>
      <c r="C153" s="270" t="s">
        <v>241</v>
      </c>
      <c r="D153" s="297" t="s">
        <v>632</v>
      </c>
      <c r="E153" s="270" t="s">
        <v>789</v>
      </c>
      <c r="F153" s="270" t="s">
        <v>2292</v>
      </c>
      <c r="G153" s="270" t="s">
        <v>39</v>
      </c>
      <c r="H153" s="298">
        <v>40</v>
      </c>
      <c r="I153" s="292"/>
      <c r="J153" s="286"/>
      <c r="K153" s="286"/>
      <c r="L153" s="286"/>
      <c r="M153" s="286"/>
      <c r="N153" s="286"/>
      <c r="O153" s="286"/>
      <c r="P153" s="286"/>
      <c r="Q153" s="286"/>
      <c r="R153" s="286"/>
      <c r="S153" s="286"/>
      <c r="T153" s="286"/>
      <c r="U153" s="286"/>
      <c r="V153" s="294"/>
      <c r="W153" s="286"/>
      <c r="X153" s="286"/>
      <c r="Y153" s="286"/>
      <c r="Z153" s="286"/>
      <c r="AA153" s="286"/>
      <c r="AB153" s="286"/>
      <c r="AC153" s="286"/>
      <c r="AD153" s="286"/>
      <c r="AE153" s="286"/>
      <c r="AF153" s="286"/>
      <c r="AG153" s="286"/>
      <c r="AH153" s="286"/>
      <c r="AI153" s="286"/>
      <c r="AJ153" s="286"/>
      <c r="AK153" s="287"/>
      <c r="AL153" s="288"/>
      <c r="AM153" s="287"/>
      <c r="AN153" s="287"/>
      <c r="AO153" s="287"/>
      <c r="AP153" s="286"/>
      <c r="AQ153" s="296"/>
      <c r="AR153" s="286"/>
      <c r="AS153" s="286"/>
      <c r="AT153" s="28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7"/>
      <c r="BE153" s="287"/>
      <c r="BF153" s="287"/>
      <c r="BG153" s="287"/>
      <c r="BH153" s="287"/>
      <c r="BI153" s="287"/>
      <c r="BJ153" s="287"/>
      <c r="BK153" s="287"/>
      <c r="BL153" s="287"/>
      <c r="BM153" s="287"/>
      <c r="BN153" s="287"/>
      <c r="BO153" s="287"/>
      <c r="BP153" s="287"/>
      <c r="BQ153" s="287"/>
      <c r="BR153" s="287"/>
      <c r="BS153" s="287"/>
      <c r="BT153" s="287"/>
      <c r="BU153" s="287"/>
      <c r="BV153" s="287"/>
      <c r="BW153" s="287"/>
      <c r="BX153" s="286"/>
      <c r="BY153" s="289"/>
      <c r="BZ153" s="289"/>
      <c r="CA153" s="289"/>
      <c r="CB153" s="289"/>
      <c r="CC153" s="289"/>
      <c r="CD153" s="289"/>
      <c r="CE153" s="289"/>
      <c r="CF153" s="289"/>
      <c r="CG153" s="287"/>
      <c r="CH153" s="287"/>
      <c r="CI153" s="287"/>
      <c r="CJ153" s="287"/>
      <c r="CK153" s="287"/>
      <c r="CL153" s="287"/>
      <c r="CM153" s="287"/>
      <c r="CN153" s="287"/>
      <c r="CO153" s="287"/>
      <c r="CP153" s="287"/>
      <c r="CQ153" s="287"/>
      <c r="CR153" s="287"/>
      <c r="CS153" s="6"/>
      <c r="CT153" s="6"/>
      <c r="CU153" s="6"/>
      <c r="CV153" s="6"/>
      <c r="CW153" s="6"/>
      <c r="CX153" s="6"/>
      <c r="CY153" s="6"/>
      <c r="CZ153" s="6"/>
      <c r="DA153" s="343">
        <f t="shared" si="5"/>
        <v>40</v>
      </c>
      <c r="DH153" s="237"/>
    </row>
    <row r="154" spans="1:112" ht="20" customHeight="1" x14ac:dyDescent="0.35">
      <c r="A154" s="290"/>
      <c r="B154" s="270" t="s">
        <v>791</v>
      </c>
      <c r="C154" s="270" t="s">
        <v>241</v>
      </c>
      <c r="D154" s="297" t="s">
        <v>632</v>
      </c>
      <c r="E154" s="270" t="s">
        <v>776</v>
      </c>
      <c r="F154" s="270" t="s">
        <v>2290</v>
      </c>
      <c r="G154" s="270" t="s">
        <v>38</v>
      </c>
      <c r="H154" s="298">
        <f>H153/25*5</f>
        <v>8</v>
      </c>
      <c r="I154" s="292">
        <v>13</v>
      </c>
      <c r="J154" s="292">
        <v>13</v>
      </c>
      <c r="K154" s="286"/>
      <c r="L154" s="286"/>
      <c r="M154" s="286"/>
      <c r="N154" s="286"/>
      <c r="O154" s="286"/>
      <c r="P154" s="286"/>
      <c r="Q154" s="286">
        <v>13</v>
      </c>
      <c r="R154" s="286"/>
      <c r="S154" s="286">
        <v>13</v>
      </c>
      <c r="T154" s="286">
        <v>13</v>
      </c>
      <c r="U154" s="286"/>
      <c r="V154" s="294"/>
      <c r="W154" s="286"/>
      <c r="X154" s="286"/>
      <c r="Y154" s="286"/>
      <c r="Z154" s="286"/>
      <c r="AA154" s="286"/>
      <c r="AB154" s="286"/>
      <c r="AC154" s="286">
        <v>13.5</v>
      </c>
      <c r="AD154" s="286"/>
      <c r="AE154" s="286"/>
      <c r="AF154" s="286"/>
      <c r="AG154" s="286"/>
      <c r="AH154" s="286"/>
      <c r="AI154" s="286"/>
      <c r="AJ154" s="286">
        <v>12</v>
      </c>
      <c r="AK154" s="295">
        <v>13</v>
      </c>
      <c r="AL154" s="286">
        <v>13</v>
      </c>
      <c r="AM154" s="287"/>
      <c r="AN154" s="287"/>
      <c r="AO154" s="287"/>
      <c r="AP154" s="286"/>
      <c r="AQ154" s="296">
        <v>12</v>
      </c>
      <c r="AR154" s="286"/>
      <c r="AS154" s="286"/>
      <c r="AT154" s="286"/>
      <c r="AU154" s="286"/>
      <c r="AV154" s="286"/>
      <c r="AW154" s="286">
        <v>13</v>
      </c>
      <c r="AX154" s="286"/>
      <c r="AY154" s="286">
        <v>13</v>
      </c>
      <c r="AZ154" s="286"/>
      <c r="BA154" s="286">
        <v>13</v>
      </c>
      <c r="BB154" s="286">
        <v>13</v>
      </c>
      <c r="BC154" s="286">
        <v>13</v>
      </c>
      <c r="BD154" s="287"/>
      <c r="BE154" s="287"/>
      <c r="BF154" s="287"/>
      <c r="BG154" s="288">
        <v>13.5</v>
      </c>
      <c r="BH154" s="286">
        <v>13</v>
      </c>
      <c r="BI154" s="287"/>
      <c r="BJ154" s="287"/>
      <c r="BK154" s="287">
        <v>14</v>
      </c>
      <c r="BL154" s="287"/>
      <c r="BM154" s="287"/>
      <c r="BN154" s="287"/>
      <c r="BO154" s="287"/>
      <c r="BP154" s="287"/>
      <c r="BQ154" s="287"/>
      <c r="BR154" s="287"/>
      <c r="BS154" s="287"/>
      <c r="BT154" s="287"/>
      <c r="BU154" s="287"/>
      <c r="BV154" s="287"/>
      <c r="BW154" s="287"/>
      <c r="BX154" s="286">
        <f>J154</f>
        <v>13</v>
      </c>
      <c r="BY154" s="289"/>
      <c r="BZ154" s="289"/>
      <c r="CA154" s="289"/>
      <c r="CB154" s="289"/>
      <c r="CC154" s="289"/>
      <c r="CD154" s="289"/>
      <c r="CE154" s="289"/>
      <c r="CF154" s="289"/>
      <c r="CG154" s="287"/>
      <c r="CH154" s="287"/>
      <c r="CI154" s="287"/>
      <c r="CJ154" s="287"/>
      <c r="CK154" s="287"/>
      <c r="CL154" s="287"/>
      <c r="CM154" s="286">
        <v>13</v>
      </c>
      <c r="CN154" s="292">
        <v>13</v>
      </c>
      <c r="CO154" s="287"/>
      <c r="CP154" s="287"/>
      <c r="CQ154" s="287">
        <v>13</v>
      </c>
      <c r="CR154" s="287"/>
      <c r="CS154" s="288">
        <f>I154</f>
        <v>13</v>
      </c>
      <c r="CT154" s="6"/>
      <c r="CU154" s="6"/>
      <c r="CV154" s="6"/>
      <c r="CW154" s="6"/>
      <c r="CX154" s="6"/>
      <c r="CY154" s="6"/>
      <c r="CZ154" s="6"/>
      <c r="DA154" s="343">
        <f t="shared" si="5"/>
        <v>8</v>
      </c>
    </row>
    <row r="155" spans="1:112" ht="20" customHeight="1" x14ac:dyDescent="0.35">
      <c r="A155" s="290"/>
      <c r="B155" s="270" t="s">
        <v>1234</v>
      </c>
      <c r="C155" s="270" t="s">
        <v>241</v>
      </c>
      <c r="D155" s="297" t="s">
        <v>632</v>
      </c>
      <c r="E155" s="270" t="s">
        <v>776</v>
      </c>
      <c r="F155" s="270" t="s">
        <v>2289</v>
      </c>
      <c r="G155" s="270" t="s">
        <v>38</v>
      </c>
      <c r="H155" s="298">
        <f>H153/25*4</f>
        <v>6.4</v>
      </c>
      <c r="I155" s="292"/>
      <c r="J155" s="286"/>
      <c r="K155" s="286"/>
      <c r="L155" s="286"/>
      <c r="M155" s="286"/>
      <c r="N155" s="286"/>
      <c r="O155" s="286"/>
      <c r="P155" s="286"/>
      <c r="Q155" s="286"/>
      <c r="R155" s="286"/>
      <c r="S155" s="286"/>
      <c r="T155" s="286"/>
      <c r="U155" s="286"/>
      <c r="V155" s="294"/>
      <c r="W155" s="286"/>
      <c r="X155" s="286"/>
      <c r="Y155" s="286"/>
      <c r="Z155" s="286"/>
      <c r="AA155" s="286"/>
      <c r="AB155" s="286"/>
      <c r="AC155" s="286">
        <v>9.5</v>
      </c>
      <c r="AD155" s="286"/>
      <c r="AE155" s="286"/>
      <c r="AF155" s="286"/>
      <c r="AG155" s="286"/>
      <c r="AH155" s="286"/>
      <c r="AI155" s="286"/>
      <c r="AJ155" s="286"/>
      <c r="AK155" s="287"/>
      <c r="AL155" s="288"/>
      <c r="AM155" s="287"/>
      <c r="AN155" s="287"/>
      <c r="AO155" s="287"/>
      <c r="AP155" s="286"/>
      <c r="AQ155" s="296"/>
      <c r="AR155" s="286"/>
      <c r="AS155" s="286"/>
      <c r="AT155" s="28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7"/>
      <c r="BE155" s="287"/>
      <c r="BF155" s="287"/>
      <c r="BG155" s="287"/>
      <c r="BH155" s="287"/>
      <c r="BI155" s="287"/>
      <c r="BJ155" s="287"/>
      <c r="BK155" s="287"/>
      <c r="BL155" s="287"/>
      <c r="BM155" s="287"/>
      <c r="BN155" s="287"/>
      <c r="BO155" s="287"/>
      <c r="BP155" s="287"/>
      <c r="BQ155" s="287"/>
      <c r="BR155" s="287"/>
      <c r="BS155" s="287"/>
      <c r="BT155" s="287"/>
      <c r="BU155" s="287"/>
      <c r="BV155" s="287"/>
      <c r="BW155" s="287"/>
      <c r="BX155" s="286"/>
      <c r="BY155" s="289"/>
      <c r="BZ155" s="289"/>
      <c r="CA155" s="289"/>
      <c r="CB155" s="289"/>
      <c r="CC155" s="289"/>
      <c r="CD155" s="289"/>
      <c r="CE155" s="289"/>
      <c r="CF155" s="289"/>
      <c r="CG155" s="287"/>
      <c r="CH155" s="287"/>
      <c r="CI155" s="287"/>
      <c r="CJ155" s="287"/>
      <c r="CK155" s="287"/>
      <c r="CL155" s="287"/>
      <c r="CM155" s="287"/>
      <c r="CN155" s="287"/>
      <c r="CO155" s="287"/>
      <c r="CP155" s="287"/>
      <c r="CQ155" s="287"/>
      <c r="CR155" s="287"/>
      <c r="CS155" s="6"/>
      <c r="CT155" s="6"/>
      <c r="CU155" s="6"/>
      <c r="CV155" s="6"/>
      <c r="CW155" s="6"/>
      <c r="CX155" s="6"/>
      <c r="CY155" s="6"/>
      <c r="CZ155" s="6"/>
      <c r="DA155" s="343">
        <f t="shared" ref="DA155:DA234" si="6">H155</f>
        <v>6.4</v>
      </c>
    </row>
    <row r="156" spans="1:112" ht="20" customHeight="1" x14ac:dyDescent="0.35">
      <c r="A156" s="290"/>
      <c r="B156" s="270" t="s">
        <v>1235</v>
      </c>
      <c r="C156" s="270" t="s">
        <v>241</v>
      </c>
      <c r="D156" s="297" t="s">
        <v>632</v>
      </c>
      <c r="E156" s="270" t="s">
        <v>776</v>
      </c>
      <c r="F156" s="270" t="s">
        <v>2291</v>
      </c>
      <c r="G156" s="270" t="s">
        <v>38</v>
      </c>
      <c r="H156" s="298">
        <f>H153/25</f>
        <v>1.6</v>
      </c>
      <c r="I156" s="292"/>
      <c r="J156" s="286"/>
      <c r="K156" s="286"/>
      <c r="L156" s="286"/>
      <c r="M156" s="286"/>
      <c r="N156" s="286"/>
      <c r="O156" s="286"/>
      <c r="P156" s="286"/>
      <c r="Q156" s="286"/>
      <c r="R156" s="286"/>
      <c r="S156" s="286"/>
      <c r="T156" s="286"/>
      <c r="U156" s="286"/>
      <c r="V156" s="294"/>
      <c r="W156" s="286"/>
      <c r="X156" s="286"/>
      <c r="Y156" s="286"/>
      <c r="Z156" s="286"/>
      <c r="AA156" s="286"/>
      <c r="AB156" s="286"/>
      <c r="AC156" s="286"/>
      <c r="AD156" s="286"/>
      <c r="AE156" s="286"/>
      <c r="AF156" s="286"/>
      <c r="AG156" s="286"/>
      <c r="AH156" s="286"/>
      <c r="AI156" s="286"/>
      <c r="AJ156" s="286"/>
      <c r="AK156" s="287"/>
      <c r="AL156" s="288"/>
      <c r="AM156" s="287"/>
      <c r="AN156" s="287"/>
      <c r="AO156" s="287"/>
      <c r="AP156" s="286"/>
      <c r="AQ156" s="296"/>
      <c r="AR156" s="286"/>
      <c r="AS156" s="286"/>
      <c r="AT156" s="28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7"/>
      <c r="BE156" s="287"/>
      <c r="BF156" s="287"/>
      <c r="BG156" s="287"/>
      <c r="BH156" s="287"/>
      <c r="BI156" s="287"/>
      <c r="BJ156" s="287"/>
      <c r="BK156" s="287"/>
      <c r="BL156" s="287"/>
      <c r="BM156" s="287"/>
      <c r="BN156" s="287"/>
      <c r="BO156" s="287"/>
      <c r="BP156" s="287"/>
      <c r="BQ156" s="287"/>
      <c r="BR156" s="287"/>
      <c r="BS156" s="287"/>
      <c r="BT156" s="287"/>
      <c r="BU156" s="287"/>
      <c r="BV156" s="287"/>
      <c r="BW156" s="287"/>
      <c r="BX156" s="286"/>
      <c r="BY156" s="289"/>
      <c r="BZ156" s="289"/>
      <c r="CA156" s="289"/>
      <c r="CB156" s="289"/>
      <c r="CC156" s="289"/>
      <c r="CD156" s="289"/>
      <c r="CE156" s="289"/>
      <c r="CF156" s="289"/>
      <c r="CG156" s="287"/>
      <c r="CH156" s="287"/>
      <c r="CI156" s="287"/>
      <c r="CJ156" s="287"/>
      <c r="CK156" s="287"/>
      <c r="CL156" s="287"/>
      <c r="CM156" s="287"/>
      <c r="CN156" s="287"/>
      <c r="CO156" s="287"/>
      <c r="CP156" s="287"/>
      <c r="CQ156" s="287"/>
      <c r="CR156" s="287"/>
      <c r="CS156" s="6"/>
      <c r="CT156" s="6"/>
      <c r="CU156" s="6"/>
      <c r="CV156" s="6"/>
      <c r="CW156" s="6"/>
      <c r="CX156" s="6"/>
      <c r="CY156" s="6"/>
      <c r="CZ156" s="6"/>
      <c r="DA156" s="343">
        <f t="shared" si="6"/>
        <v>1.6</v>
      </c>
    </row>
    <row r="157" spans="1:112" ht="20" customHeight="1" x14ac:dyDescent="0.35">
      <c r="A157" s="290"/>
      <c r="B157" s="270" t="s">
        <v>792</v>
      </c>
      <c r="C157" s="270" t="s">
        <v>793</v>
      </c>
      <c r="D157" s="270"/>
      <c r="E157" s="270"/>
      <c r="F157" s="270" t="s">
        <v>422</v>
      </c>
      <c r="G157" s="270" t="s">
        <v>39</v>
      </c>
      <c r="H157" s="298"/>
      <c r="I157" s="292"/>
      <c r="J157" s="286"/>
      <c r="K157" s="286"/>
      <c r="L157" s="286"/>
      <c r="M157" s="286"/>
      <c r="N157" s="286"/>
      <c r="O157" s="286"/>
      <c r="P157" s="286"/>
      <c r="Q157" s="286"/>
      <c r="R157" s="286"/>
      <c r="S157" s="286"/>
      <c r="T157" s="286"/>
      <c r="U157" s="286"/>
      <c r="V157" s="294"/>
      <c r="W157" s="286"/>
      <c r="X157" s="286"/>
      <c r="Y157" s="286"/>
      <c r="Z157" s="286"/>
      <c r="AA157" s="286"/>
      <c r="AB157" s="286"/>
      <c r="AC157" s="286"/>
      <c r="AD157" s="286"/>
      <c r="AE157" s="286"/>
      <c r="AF157" s="286"/>
      <c r="AG157" s="286"/>
      <c r="AH157" s="286"/>
      <c r="AI157" s="286"/>
      <c r="AJ157" s="286"/>
      <c r="AK157" s="287"/>
      <c r="AL157" s="288"/>
      <c r="AM157" s="287"/>
      <c r="AN157" s="287"/>
      <c r="AO157" s="287"/>
      <c r="AP157" s="286"/>
      <c r="AQ157" s="296"/>
      <c r="AR157" s="286"/>
      <c r="AS157" s="286"/>
      <c r="AT157" s="28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7"/>
      <c r="BE157" s="287"/>
      <c r="BF157" s="287"/>
      <c r="BG157" s="287"/>
      <c r="BH157" s="287"/>
      <c r="BI157" s="287"/>
      <c r="BJ157" s="287"/>
      <c r="BK157" s="287"/>
      <c r="BL157" s="287"/>
      <c r="BM157" s="287"/>
      <c r="BN157" s="287"/>
      <c r="BO157" s="287"/>
      <c r="BP157" s="287"/>
      <c r="BQ157" s="287"/>
      <c r="BR157" s="287"/>
      <c r="BS157" s="287"/>
      <c r="BT157" s="287"/>
      <c r="BU157" s="287"/>
      <c r="BV157" s="287"/>
      <c r="BW157" s="287"/>
      <c r="BX157" s="286"/>
      <c r="BY157" s="289"/>
      <c r="BZ157" s="289"/>
      <c r="CA157" s="289"/>
      <c r="CB157" s="289"/>
      <c r="CC157" s="289"/>
      <c r="CD157" s="289"/>
      <c r="CE157" s="289"/>
      <c r="CF157" s="289"/>
      <c r="CG157" s="287"/>
      <c r="CH157" s="287"/>
      <c r="CI157" s="287"/>
      <c r="CJ157" s="287"/>
      <c r="CK157" s="287"/>
      <c r="CL157" s="287"/>
      <c r="CM157" s="287"/>
      <c r="CN157" s="287"/>
      <c r="CO157" s="287"/>
      <c r="CP157" s="287"/>
      <c r="CQ157" s="287"/>
      <c r="CR157" s="287"/>
      <c r="CS157" s="6"/>
      <c r="CT157" s="6"/>
      <c r="CU157" s="6"/>
      <c r="CV157" s="6"/>
      <c r="CW157" s="6"/>
      <c r="CX157" s="6"/>
      <c r="CY157" s="6"/>
      <c r="CZ157" s="6"/>
      <c r="DA157" s="343">
        <f t="shared" si="6"/>
        <v>0</v>
      </c>
    </row>
    <row r="158" spans="1:112" ht="20" customHeight="1" x14ac:dyDescent="0.35">
      <c r="A158" s="290"/>
      <c r="B158" s="270" t="s">
        <v>794</v>
      </c>
      <c r="C158" s="270" t="s">
        <v>793</v>
      </c>
      <c r="D158" s="270"/>
      <c r="E158" s="270"/>
      <c r="F158" s="270" t="s">
        <v>1808</v>
      </c>
      <c r="G158" s="270" t="s">
        <v>39</v>
      </c>
      <c r="H158" s="298"/>
      <c r="I158" s="292"/>
      <c r="J158" s="286"/>
      <c r="K158" s="286"/>
      <c r="L158" s="286"/>
      <c r="M158" s="286"/>
      <c r="N158" s="286"/>
      <c r="O158" s="286"/>
      <c r="P158" s="286"/>
      <c r="Q158" s="286"/>
      <c r="R158" s="286"/>
      <c r="S158" s="286"/>
      <c r="T158" s="286"/>
      <c r="U158" s="286"/>
      <c r="V158" s="294"/>
      <c r="W158" s="286"/>
      <c r="X158" s="286"/>
      <c r="Y158" s="286"/>
      <c r="Z158" s="286"/>
      <c r="AA158" s="286"/>
      <c r="AB158" s="286"/>
      <c r="AC158" s="286"/>
      <c r="AD158" s="286"/>
      <c r="AE158" s="286"/>
      <c r="AF158" s="286"/>
      <c r="AG158" s="286"/>
      <c r="AH158" s="286"/>
      <c r="AI158" s="286"/>
      <c r="AJ158" s="286"/>
      <c r="AK158" s="287"/>
      <c r="AL158" s="288"/>
      <c r="AM158" s="287"/>
      <c r="AN158" s="287"/>
      <c r="AO158" s="287"/>
      <c r="AP158" s="286"/>
      <c r="AQ158" s="296"/>
      <c r="AR158" s="286"/>
      <c r="AS158" s="286"/>
      <c r="AT158" s="28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7"/>
      <c r="BE158" s="287"/>
      <c r="BF158" s="287"/>
      <c r="BG158" s="287"/>
      <c r="BH158" s="287"/>
      <c r="BI158" s="287"/>
      <c r="BJ158" s="287"/>
      <c r="BK158" s="287"/>
      <c r="BL158" s="287"/>
      <c r="BM158" s="287"/>
      <c r="BN158" s="287"/>
      <c r="BO158" s="287"/>
      <c r="BP158" s="287"/>
      <c r="BQ158" s="287"/>
      <c r="BR158" s="287"/>
      <c r="BS158" s="287"/>
      <c r="BT158" s="287"/>
      <c r="BU158" s="287"/>
      <c r="BV158" s="287"/>
      <c r="BW158" s="287"/>
      <c r="BX158" s="286"/>
      <c r="BY158" s="289"/>
      <c r="BZ158" s="289"/>
      <c r="CA158" s="289"/>
      <c r="CB158" s="289"/>
      <c r="CC158" s="289"/>
      <c r="CD158" s="289"/>
      <c r="CE158" s="289"/>
      <c r="CF158" s="289"/>
      <c r="CG158" s="287"/>
      <c r="CH158" s="287"/>
      <c r="CI158" s="287"/>
      <c r="CJ158" s="287"/>
      <c r="CK158" s="287"/>
      <c r="CL158" s="287"/>
      <c r="CM158" s="287"/>
      <c r="CN158" s="287"/>
      <c r="CO158" s="287"/>
      <c r="CP158" s="287"/>
      <c r="CQ158" s="287"/>
      <c r="CR158" s="287"/>
      <c r="CS158" s="6"/>
      <c r="CT158" s="6"/>
      <c r="CU158" s="6"/>
      <c r="CV158" s="6"/>
      <c r="CW158" s="6"/>
      <c r="CX158" s="6"/>
      <c r="CY158" s="6"/>
      <c r="CZ158" s="6"/>
      <c r="DA158" s="343">
        <f t="shared" si="6"/>
        <v>0</v>
      </c>
    </row>
    <row r="159" spans="1:112" ht="20" customHeight="1" x14ac:dyDescent="0.35">
      <c r="A159" s="301"/>
      <c r="B159" s="311" t="s">
        <v>795</v>
      </c>
      <c r="C159" s="270" t="s">
        <v>1598</v>
      </c>
      <c r="D159" s="270"/>
      <c r="E159" s="270"/>
      <c r="F159" s="270" t="s">
        <v>62</v>
      </c>
      <c r="G159" s="270"/>
      <c r="H159" s="298"/>
      <c r="I159" s="286"/>
      <c r="J159" s="286"/>
      <c r="K159" s="286"/>
      <c r="L159" s="286"/>
      <c r="M159" s="286"/>
      <c r="N159" s="286"/>
      <c r="O159" s="286"/>
      <c r="P159" s="286"/>
      <c r="Q159" s="286"/>
      <c r="R159" s="286"/>
      <c r="S159" s="286"/>
      <c r="T159" s="286"/>
      <c r="U159" s="286"/>
      <c r="V159" s="294"/>
      <c r="W159" s="286"/>
      <c r="X159" s="286"/>
      <c r="Y159" s="286"/>
      <c r="Z159" s="286"/>
      <c r="AA159" s="286"/>
      <c r="AB159" s="286"/>
      <c r="AC159" s="286"/>
      <c r="AD159" s="286"/>
      <c r="AE159" s="286"/>
      <c r="AF159" s="286"/>
      <c r="AG159" s="286">
        <v>3</v>
      </c>
      <c r="AH159" s="286"/>
      <c r="AI159" s="286"/>
      <c r="AJ159" s="286"/>
      <c r="AK159" s="287"/>
      <c r="AL159" s="288"/>
      <c r="AM159" s="287"/>
      <c r="AN159" s="287"/>
      <c r="AO159" s="287"/>
      <c r="AP159" s="286"/>
      <c r="AQ159" s="296"/>
      <c r="AR159" s="286"/>
      <c r="AS159" s="286"/>
      <c r="AT159" s="28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7"/>
      <c r="BE159" s="287"/>
      <c r="BF159" s="287"/>
      <c r="BG159" s="287"/>
      <c r="BH159" s="287"/>
      <c r="BI159" s="287"/>
      <c r="BJ159" s="287"/>
      <c r="BK159" s="287"/>
      <c r="BL159" s="287"/>
      <c r="BM159" s="287"/>
      <c r="BN159" s="287"/>
      <c r="BO159" s="287"/>
      <c r="BP159" s="287"/>
      <c r="BQ159" s="287"/>
      <c r="BR159" s="287"/>
      <c r="BS159" s="287"/>
      <c r="BT159" s="287"/>
      <c r="BU159" s="287"/>
      <c r="BV159" s="287"/>
      <c r="BW159" s="287"/>
      <c r="BX159" s="286"/>
      <c r="BY159" s="289"/>
      <c r="BZ159" s="289"/>
      <c r="CA159" s="289"/>
      <c r="CB159" s="289"/>
      <c r="CC159" s="289"/>
      <c r="CD159" s="289"/>
      <c r="CE159" s="289"/>
      <c r="CF159" s="289"/>
      <c r="CG159" s="287"/>
      <c r="CH159" s="287"/>
      <c r="CI159" s="287"/>
      <c r="CJ159" s="287"/>
      <c r="CK159" s="287"/>
      <c r="CL159" s="287"/>
      <c r="CM159" s="287"/>
      <c r="CN159" s="287"/>
      <c r="CO159" s="287"/>
      <c r="CP159" s="287"/>
      <c r="CQ159" s="287"/>
      <c r="CR159" s="287"/>
      <c r="CS159" s="6"/>
      <c r="CT159" s="6"/>
      <c r="CU159" s="6"/>
      <c r="CV159" s="6"/>
      <c r="CW159" s="6"/>
      <c r="CX159" s="6"/>
      <c r="CY159" s="6"/>
      <c r="CZ159" s="6"/>
      <c r="DA159" s="343">
        <f t="shared" si="6"/>
        <v>0</v>
      </c>
    </row>
    <row r="160" spans="1:112" ht="20" customHeight="1" x14ac:dyDescent="0.35">
      <c r="A160" s="290"/>
      <c r="B160" s="270" t="s">
        <v>796</v>
      </c>
      <c r="C160" s="270" t="s">
        <v>1599</v>
      </c>
      <c r="D160" s="297" t="s">
        <v>630</v>
      </c>
      <c r="E160" s="270" t="s">
        <v>1600</v>
      </c>
      <c r="F160" s="270" t="s">
        <v>1809</v>
      </c>
      <c r="G160" s="270" t="s">
        <v>36</v>
      </c>
      <c r="H160" s="312">
        <v>18.600000000000001</v>
      </c>
      <c r="I160" s="292">
        <v>22</v>
      </c>
      <c r="J160" s="292">
        <v>22.5</v>
      </c>
      <c r="K160" s="286"/>
      <c r="L160" s="286">
        <v>24</v>
      </c>
      <c r="M160" s="400"/>
      <c r="N160" s="286"/>
      <c r="O160" s="300"/>
      <c r="P160" s="286"/>
      <c r="Q160" s="286"/>
      <c r="R160" s="286">
        <v>24</v>
      </c>
      <c r="S160" s="286"/>
      <c r="T160" s="300">
        <v>22.5</v>
      </c>
      <c r="U160" s="286"/>
      <c r="V160" s="286"/>
      <c r="W160" s="286"/>
      <c r="X160" s="286"/>
      <c r="Y160" s="286"/>
      <c r="Z160" s="286"/>
      <c r="AA160" s="286"/>
      <c r="AB160" s="286"/>
      <c r="AC160" s="286"/>
      <c r="AD160" s="286"/>
      <c r="AE160" s="286"/>
      <c r="AF160" s="286"/>
      <c r="AG160" s="286"/>
      <c r="AH160" s="286"/>
      <c r="AI160" s="286"/>
      <c r="AJ160" s="286"/>
      <c r="AK160" s="295"/>
      <c r="AL160" s="288"/>
      <c r="AM160" s="287"/>
      <c r="AN160" s="287"/>
      <c r="AO160" s="287"/>
      <c r="AP160" s="286"/>
      <c r="AQ160" s="296"/>
      <c r="AR160" s="286"/>
      <c r="AS160" s="286"/>
      <c r="AT160" s="28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7"/>
      <c r="BE160" s="287"/>
      <c r="BF160" s="287"/>
      <c r="BG160" s="288">
        <v>25</v>
      </c>
      <c r="BH160" s="287"/>
      <c r="BI160" s="287"/>
      <c r="BJ160" s="287"/>
      <c r="BK160" s="287"/>
      <c r="BL160" s="287"/>
      <c r="BM160" s="287"/>
      <c r="BN160" s="287"/>
      <c r="BO160" s="287"/>
      <c r="BP160" s="287"/>
      <c r="BQ160" s="287"/>
      <c r="BR160" s="287"/>
      <c r="BS160" s="287"/>
      <c r="BT160" s="287"/>
      <c r="BU160" s="287"/>
      <c r="BV160" s="287"/>
      <c r="BW160" s="287"/>
      <c r="BX160" s="286"/>
      <c r="BY160" s="289"/>
      <c r="BZ160" s="289"/>
      <c r="CA160" s="289"/>
      <c r="CB160" s="289"/>
      <c r="CC160" s="289"/>
      <c r="CD160" s="289"/>
      <c r="CE160" s="289"/>
      <c r="CF160" s="289"/>
      <c r="CG160" s="305"/>
      <c r="CH160" s="287"/>
      <c r="CI160" s="287"/>
      <c r="CJ160" s="287"/>
      <c r="CK160" s="287"/>
      <c r="CL160" s="287"/>
      <c r="CM160" s="287"/>
      <c r="CN160" s="287"/>
      <c r="CO160" s="287"/>
      <c r="CP160" s="287"/>
      <c r="CQ160" s="287">
        <v>22</v>
      </c>
      <c r="CR160" s="287"/>
      <c r="CS160" s="288">
        <f>I160</f>
        <v>22</v>
      </c>
      <c r="CT160" s="6"/>
      <c r="CU160" s="6"/>
      <c r="CV160" s="6"/>
      <c r="CW160" s="6"/>
      <c r="CX160" s="6"/>
      <c r="CY160" s="6"/>
      <c r="CZ160" s="6"/>
      <c r="DA160" s="343">
        <f t="shared" si="6"/>
        <v>18.600000000000001</v>
      </c>
    </row>
    <row r="161" spans="1:105" ht="20" customHeight="1" x14ac:dyDescent="0.35">
      <c r="A161" s="290"/>
      <c r="B161" s="270" t="s">
        <v>1478</v>
      </c>
      <c r="C161" s="270" t="s">
        <v>1599</v>
      </c>
      <c r="D161" s="297" t="s">
        <v>630</v>
      </c>
      <c r="E161" s="270" t="s">
        <v>1600</v>
      </c>
      <c r="F161" s="270" t="s">
        <v>1810</v>
      </c>
      <c r="G161" s="270" t="s">
        <v>38</v>
      </c>
      <c r="H161" s="312">
        <f>H160/20</f>
        <v>0.93</v>
      </c>
      <c r="I161" s="292"/>
      <c r="J161" s="292">
        <v>1.2</v>
      </c>
      <c r="K161" s="286"/>
      <c r="L161" s="286"/>
      <c r="M161" s="286"/>
      <c r="N161" s="286"/>
      <c r="O161" s="300"/>
      <c r="P161" s="286"/>
      <c r="Q161" s="286"/>
      <c r="R161" s="286"/>
      <c r="S161" s="286"/>
      <c r="T161" s="300">
        <v>1.2</v>
      </c>
      <c r="U161" s="286"/>
      <c r="V161" s="286"/>
      <c r="W161" s="286"/>
      <c r="X161" s="286"/>
      <c r="Y161" s="286"/>
      <c r="Z161" s="286"/>
      <c r="AA161" s="286"/>
      <c r="AB161" s="286"/>
      <c r="AC161" s="286"/>
      <c r="AD161" s="286"/>
      <c r="AE161" s="286"/>
      <c r="AF161" s="286"/>
      <c r="AG161" s="286"/>
      <c r="AH161" s="286"/>
      <c r="AI161" s="286"/>
      <c r="AJ161" s="286"/>
      <c r="AK161" s="287"/>
      <c r="AL161" s="288"/>
      <c r="AM161" s="287"/>
      <c r="AN161" s="287"/>
      <c r="AO161" s="287"/>
      <c r="AP161" s="286"/>
      <c r="AQ161" s="296"/>
      <c r="AR161" s="286"/>
      <c r="AS161" s="286"/>
      <c r="AT161" s="286"/>
      <c r="AU161" s="286"/>
      <c r="AV161" s="286"/>
      <c r="AW161" s="286"/>
      <c r="AX161" s="286"/>
      <c r="AY161" s="286"/>
      <c r="AZ161" s="286"/>
      <c r="BA161" s="286"/>
      <c r="BB161" s="286"/>
      <c r="BC161" s="286">
        <v>1.2</v>
      </c>
      <c r="BD161" s="287"/>
      <c r="BE161" s="287"/>
      <c r="BF161" s="287"/>
      <c r="BG161" s="287"/>
      <c r="BH161" s="287"/>
      <c r="BI161" s="287"/>
      <c r="BJ161" s="287"/>
      <c r="BK161" s="287"/>
      <c r="BL161" s="287"/>
      <c r="BM161" s="287"/>
      <c r="BN161" s="287"/>
      <c r="BO161" s="287"/>
      <c r="BP161" s="287"/>
      <c r="BQ161" s="287"/>
      <c r="BR161" s="287"/>
      <c r="BS161" s="287"/>
      <c r="BT161" s="287"/>
      <c r="BU161" s="287"/>
      <c r="BV161" s="287"/>
      <c r="BW161" s="287"/>
      <c r="BX161" s="286"/>
      <c r="BY161" s="289"/>
      <c r="BZ161" s="289"/>
      <c r="CA161" s="289"/>
      <c r="CB161" s="289"/>
      <c r="CC161" s="289"/>
      <c r="CD161" s="289"/>
      <c r="CE161" s="289"/>
      <c r="CF161" s="289"/>
      <c r="CG161" s="305"/>
      <c r="CH161" s="287"/>
      <c r="CI161" s="287"/>
      <c r="CJ161" s="287"/>
      <c r="CK161" s="287"/>
      <c r="CL161" s="287"/>
      <c r="CM161" s="287"/>
      <c r="CN161" s="287"/>
      <c r="CO161" s="287"/>
      <c r="CP161" s="287"/>
      <c r="CQ161" s="287"/>
      <c r="CR161" s="287"/>
      <c r="CS161" s="6"/>
      <c r="CT161" s="6"/>
      <c r="CU161" s="6"/>
      <c r="CV161" s="6"/>
      <c r="CW161" s="6"/>
      <c r="CX161" s="6"/>
      <c r="CY161" s="6"/>
      <c r="CZ161" s="6"/>
      <c r="DA161" s="343">
        <f t="shared" si="6"/>
        <v>0.93</v>
      </c>
    </row>
    <row r="162" spans="1:105" ht="20" customHeight="1" x14ac:dyDescent="0.35">
      <c r="A162" s="290" t="s">
        <v>1293</v>
      </c>
      <c r="B162" s="270" t="s">
        <v>797</v>
      </c>
      <c r="C162" s="270" t="s">
        <v>1601</v>
      </c>
      <c r="D162" s="297" t="s">
        <v>632</v>
      </c>
      <c r="E162" s="270" t="s">
        <v>1600</v>
      </c>
      <c r="F162" s="270" t="s">
        <v>1809</v>
      </c>
      <c r="G162" s="270" t="s">
        <v>36</v>
      </c>
      <c r="H162" s="298">
        <v>24</v>
      </c>
      <c r="I162" s="286">
        <v>32</v>
      </c>
      <c r="J162" s="286">
        <v>29</v>
      </c>
      <c r="K162" s="286"/>
      <c r="L162" s="286">
        <v>32</v>
      </c>
      <c r="M162" s="400"/>
      <c r="N162" s="286"/>
      <c r="O162" s="286"/>
      <c r="P162" s="286"/>
      <c r="Q162" s="286"/>
      <c r="R162" s="286"/>
      <c r="S162" s="286"/>
      <c r="T162" s="286"/>
      <c r="U162" s="286"/>
      <c r="V162" s="294"/>
      <c r="W162" s="286"/>
      <c r="X162" s="286"/>
      <c r="Y162" s="286"/>
      <c r="Z162" s="286"/>
      <c r="AA162" s="286"/>
      <c r="AB162" s="286"/>
      <c r="AC162" s="286"/>
      <c r="AD162" s="286"/>
      <c r="AE162" s="286"/>
      <c r="AF162" s="286"/>
      <c r="AG162" s="286"/>
      <c r="AH162" s="286"/>
      <c r="AI162" s="286"/>
      <c r="AJ162" s="286"/>
      <c r="AK162" s="295"/>
      <c r="AL162" s="288"/>
      <c r="AM162" s="287"/>
      <c r="AN162" s="287"/>
      <c r="AO162" s="287"/>
      <c r="AP162" s="286"/>
      <c r="AQ162" s="296"/>
      <c r="AR162" s="286"/>
      <c r="AS162" s="286"/>
      <c r="AT162" s="28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7"/>
      <c r="BE162" s="287"/>
      <c r="BF162" s="287"/>
      <c r="BG162" s="288">
        <v>30</v>
      </c>
      <c r="BH162" s="287"/>
      <c r="BI162" s="287"/>
      <c r="BJ162" s="287"/>
      <c r="BK162" s="287"/>
      <c r="BL162" s="287"/>
      <c r="BM162" s="287"/>
      <c r="BN162" s="287"/>
      <c r="BO162" s="287"/>
      <c r="BP162" s="287"/>
      <c r="BQ162" s="287"/>
      <c r="BR162" s="287"/>
      <c r="BS162" s="287"/>
      <c r="BT162" s="287"/>
      <c r="BU162" s="287"/>
      <c r="BV162" s="287"/>
      <c r="BW162" s="287"/>
      <c r="BX162" s="286"/>
      <c r="BY162" s="289"/>
      <c r="BZ162" s="289"/>
      <c r="CA162" s="289"/>
      <c r="CB162" s="289"/>
      <c r="CC162" s="289"/>
      <c r="CD162" s="289"/>
      <c r="CE162" s="289"/>
      <c r="CF162" s="289"/>
      <c r="CG162" s="287"/>
      <c r="CH162" s="287"/>
      <c r="CI162" s="287"/>
      <c r="CJ162" s="287"/>
      <c r="CK162" s="287"/>
      <c r="CL162" s="287"/>
      <c r="CM162" s="287"/>
      <c r="CN162" s="287"/>
      <c r="CO162" s="287"/>
      <c r="CP162" s="287"/>
      <c r="CQ162" s="287">
        <v>32</v>
      </c>
      <c r="CR162" s="287"/>
      <c r="CS162" s="288">
        <f>I162</f>
        <v>32</v>
      </c>
      <c r="CT162" s="6"/>
      <c r="CU162" s="6"/>
      <c r="CV162" s="6"/>
      <c r="CW162" s="6"/>
      <c r="CX162" s="6"/>
      <c r="CY162" s="6"/>
      <c r="CZ162" s="6"/>
      <c r="DA162" s="343">
        <f t="shared" si="6"/>
        <v>24</v>
      </c>
    </row>
    <row r="163" spans="1:105" ht="20" customHeight="1" x14ac:dyDescent="0.35">
      <c r="A163" s="290"/>
      <c r="B163" s="270" t="s">
        <v>2213</v>
      </c>
      <c r="C163" s="270" t="s">
        <v>1601</v>
      </c>
      <c r="D163" s="297" t="s">
        <v>632</v>
      </c>
      <c r="E163" s="270" t="s">
        <v>1600</v>
      </c>
      <c r="F163" s="270" t="s">
        <v>2214</v>
      </c>
      <c r="G163" s="270" t="s">
        <v>38</v>
      </c>
      <c r="H163" s="298">
        <v>1.45</v>
      </c>
      <c r="I163" s="286"/>
      <c r="J163" s="289">
        <v>1.45</v>
      </c>
      <c r="K163" s="286"/>
      <c r="L163" s="286"/>
      <c r="M163" s="400"/>
      <c r="N163" s="286"/>
      <c r="O163" s="286"/>
      <c r="P163" s="286"/>
      <c r="Q163" s="286"/>
      <c r="R163" s="286"/>
      <c r="S163" s="286"/>
      <c r="T163" s="286"/>
      <c r="U163" s="286"/>
      <c r="V163" s="294"/>
      <c r="W163" s="286"/>
      <c r="X163" s="286"/>
      <c r="Y163" s="286"/>
      <c r="Z163" s="286"/>
      <c r="AA163" s="286"/>
      <c r="AB163" s="286"/>
      <c r="AC163" s="286"/>
      <c r="AD163" s="286"/>
      <c r="AE163" s="286"/>
      <c r="AF163" s="286"/>
      <c r="AG163" s="286"/>
      <c r="AH163" s="286"/>
      <c r="AI163" s="286"/>
      <c r="AJ163" s="286"/>
      <c r="AK163" s="295"/>
      <c r="AL163" s="288"/>
      <c r="AM163" s="287"/>
      <c r="AN163" s="287"/>
      <c r="AO163" s="287"/>
      <c r="AP163" s="286"/>
      <c r="AQ163" s="296"/>
      <c r="AR163" s="286"/>
      <c r="AS163" s="286"/>
      <c r="AT163" s="28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7"/>
      <c r="BE163" s="287"/>
      <c r="BF163" s="287"/>
      <c r="BG163" s="288"/>
      <c r="BH163" s="287">
        <v>1.45</v>
      </c>
      <c r="BI163" s="287"/>
      <c r="BJ163" s="287"/>
      <c r="BK163" s="287"/>
      <c r="BL163" s="287"/>
      <c r="BM163" s="287"/>
      <c r="BN163" s="287"/>
      <c r="BO163" s="287"/>
      <c r="BP163" s="287"/>
      <c r="BQ163" s="287"/>
      <c r="BR163" s="287"/>
      <c r="BS163" s="287"/>
      <c r="BT163" s="287"/>
      <c r="BU163" s="287"/>
      <c r="BV163" s="287"/>
      <c r="BW163" s="287"/>
      <c r="BX163" s="286"/>
      <c r="BY163" s="289"/>
      <c r="BZ163" s="289"/>
      <c r="CA163" s="289"/>
      <c r="CB163" s="289"/>
      <c r="CC163" s="289"/>
      <c r="CD163" s="289"/>
      <c r="CE163" s="289"/>
      <c r="CF163" s="289"/>
      <c r="CG163" s="287"/>
      <c r="CH163" s="287"/>
      <c r="CI163" s="287"/>
      <c r="CJ163" s="287"/>
      <c r="CK163" s="287"/>
      <c r="CL163" s="287"/>
      <c r="CM163" s="287"/>
      <c r="CN163" s="287"/>
      <c r="CO163" s="287"/>
      <c r="CP163" s="287"/>
      <c r="CQ163" s="287"/>
      <c r="CR163" s="287"/>
      <c r="CS163" s="288">
        <f>I163</f>
        <v>0</v>
      </c>
      <c r="CT163" s="6"/>
      <c r="CU163" s="6"/>
      <c r="CV163" s="6"/>
      <c r="CW163" s="6"/>
      <c r="CX163" s="6"/>
      <c r="CY163" s="6"/>
      <c r="CZ163" s="6"/>
      <c r="DA163" s="343">
        <f t="shared" ref="DA163" si="7">H163</f>
        <v>1.45</v>
      </c>
    </row>
    <row r="164" spans="1:105" ht="20" customHeight="1" x14ac:dyDescent="0.35">
      <c r="A164" s="301"/>
      <c r="B164" s="270" t="s">
        <v>798</v>
      </c>
      <c r="C164" s="270" t="s">
        <v>1602</v>
      </c>
      <c r="D164" s="270" t="s">
        <v>623</v>
      </c>
      <c r="E164" s="270" t="s">
        <v>802</v>
      </c>
      <c r="F164" s="270" t="s">
        <v>62</v>
      </c>
      <c r="G164" s="270" t="s">
        <v>38</v>
      </c>
      <c r="H164" s="298">
        <v>11.8</v>
      </c>
      <c r="I164" s="286"/>
      <c r="J164" s="286"/>
      <c r="K164" s="286"/>
      <c r="L164" s="286"/>
      <c r="M164" s="286"/>
      <c r="N164" s="286"/>
      <c r="O164" s="286"/>
      <c r="P164" s="286"/>
      <c r="Q164" s="286"/>
      <c r="R164" s="286"/>
      <c r="S164" s="286"/>
      <c r="T164" s="286"/>
      <c r="U164" s="286"/>
      <c r="V164" s="286">
        <v>15</v>
      </c>
      <c r="W164" s="286"/>
      <c r="X164" s="286"/>
      <c r="Y164" s="286"/>
      <c r="Z164" s="286"/>
      <c r="AA164" s="286"/>
      <c r="AB164" s="286"/>
      <c r="AC164" s="286"/>
      <c r="AD164" s="286"/>
      <c r="AE164" s="286"/>
      <c r="AF164" s="286"/>
      <c r="AG164" s="286"/>
      <c r="AH164" s="286"/>
      <c r="AI164" s="286"/>
      <c r="AJ164" s="286"/>
      <c r="AK164" s="287"/>
      <c r="AL164" s="288"/>
      <c r="AM164" s="287"/>
      <c r="AN164" s="287"/>
      <c r="AO164" s="287"/>
      <c r="AP164" s="286"/>
      <c r="AQ164" s="296"/>
      <c r="AR164" s="286"/>
      <c r="AS164" s="286"/>
      <c r="AT164" s="28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7"/>
      <c r="BE164" s="287"/>
      <c r="BF164" s="287"/>
      <c r="BG164" s="287">
        <v>17</v>
      </c>
      <c r="BH164" s="287"/>
      <c r="BI164" s="287"/>
      <c r="BJ164" s="287"/>
      <c r="BK164" s="287"/>
      <c r="BL164" s="287"/>
      <c r="BM164" s="287"/>
      <c r="BN164" s="287"/>
      <c r="BO164" s="287"/>
      <c r="BP164" s="287"/>
      <c r="BQ164" s="287"/>
      <c r="BR164" s="287"/>
      <c r="BS164" s="287"/>
      <c r="BT164" s="287"/>
      <c r="BU164" s="287"/>
      <c r="BV164" s="287"/>
      <c r="BW164" s="287"/>
      <c r="BX164" s="286"/>
      <c r="BY164" s="289"/>
      <c r="BZ164" s="289"/>
      <c r="CA164" s="289"/>
      <c r="CB164" s="289"/>
      <c r="CC164" s="289"/>
      <c r="CD164" s="289"/>
      <c r="CE164" s="289"/>
      <c r="CF164" s="289"/>
      <c r="CG164" s="287"/>
      <c r="CH164" s="287"/>
      <c r="CI164" s="287"/>
      <c r="CJ164" s="287"/>
      <c r="CK164" s="287"/>
      <c r="CL164" s="287"/>
      <c r="CM164" s="287"/>
      <c r="CN164" s="287"/>
      <c r="CO164" s="287"/>
      <c r="CP164" s="287"/>
      <c r="CQ164" s="287"/>
      <c r="CR164" s="287"/>
      <c r="CS164" s="6"/>
      <c r="CT164" s="6"/>
      <c r="CU164" s="6"/>
      <c r="CV164" s="6"/>
      <c r="CW164" s="6"/>
      <c r="CX164" s="6"/>
      <c r="CY164" s="6"/>
      <c r="CZ164" s="6"/>
      <c r="DA164" s="343">
        <f t="shared" si="6"/>
        <v>11.8</v>
      </c>
    </row>
    <row r="165" spans="1:105" ht="20" customHeight="1" x14ac:dyDescent="0.35">
      <c r="A165" s="301"/>
      <c r="B165" s="270" t="s">
        <v>799</v>
      </c>
      <c r="C165" s="270" t="s">
        <v>1603</v>
      </c>
      <c r="D165" s="270" t="s">
        <v>606</v>
      </c>
      <c r="E165" s="270" t="s">
        <v>605</v>
      </c>
      <c r="F165" s="270" t="s">
        <v>1811</v>
      </c>
      <c r="G165" s="270" t="s">
        <v>42</v>
      </c>
      <c r="H165" s="298">
        <v>19</v>
      </c>
      <c r="I165" s="286"/>
      <c r="J165" s="286"/>
      <c r="K165" s="286"/>
      <c r="L165" s="286"/>
      <c r="M165" s="286"/>
      <c r="N165" s="286"/>
      <c r="O165" s="286">
        <v>24</v>
      </c>
      <c r="P165" s="286"/>
      <c r="Q165" s="286"/>
      <c r="R165" s="286"/>
      <c r="S165" s="286"/>
      <c r="T165" s="286"/>
      <c r="U165" s="286"/>
      <c r="V165" s="286"/>
      <c r="W165" s="286"/>
      <c r="X165" s="286"/>
      <c r="Y165" s="286"/>
      <c r="Z165" s="286"/>
      <c r="AA165" s="286"/>
      <c r="AB165" s="286"/>
      <c r="AC165" s="286"/>
      <c r="AD165" s="286"/>
      <c r="AE165" s="286"/>
      <c r="AF165" s="286"/>
      <c r="AG165" s="286"/>
      <c r="AH165" s="286"/>
      <c r="AI165" s="286"/>
      <c r="AJ165" s="286"/>
      <c r="AK165" s="287"/>
      <c r="AL165" s="288"/>
      <c r="AM165" s="287"/>
      <c r="AN165" s="287"/>
      <c r="AO165" s="287"/>
      <c r="AP165" s="286"/>
      <c r="AQ165" s="296"/>
      <c r="AR165" s="286"/>
      <c r="AS165" s="286"/>
      <c r="AT165" s="28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7"/>
      <c r="BE165" s="287"/>
      <c r="BF165" s="287"/>
      <c r="BG165" s="287"/>
      <c r="BH165" s="287"/>
      <c r="BI165" s="287"/>
      <c r="BJ165" s="287"/>
      <c r="BK165" s="287"/>
      <c r="BL165" s="287"/>
      <c r="BM165" s="287"/>
      <c r="BN165" s="287"/>
      <c r="BO165" s="287"/>
      <c r="BP165" s="287"/>
      <c r="BQ165" s="287"/>
      <c r="BR165" s="287"/>
      <c r="BS165" s="287"/>
      <c r="BT165" s="287"/>
      <c r="BU165" s="287"/>
      <c r="BV165" s="287"/>
      <c r="BW165" s="287"/>
      <c r="BX165" s="286"/>
      <c r="BY165" s="289"/>
      <c r="BZ165" s="289"/>
      <c r="CA165" s="289"/>
      <c r="CB165" s="289"/>
      <c r="CC165" s="289"/>
      <c r="CD165" s="289"/>
      <c r="CE165" s="289"/>
      <c r="CF165" s="289"/>
      <c r="CG165" s="287"/>
      <c r="CH165" s="287"/>
      <c r="CI165" s="287"/>
      <c r="CJ165" s="287"/>
      <c r="CK165" s="287"/>
      <c r="CL165" s="287"/>
      <c r="CM165" s="287"/>
      <c r="CN165" s="287"/>
      <c r="CO165" s="287"/>
      <c r="CP165" s="287"/>
      <c r="CQ165" s="287"/>
      <c r="CR165" s="287"/>
      <c r="CS165" s="6"/>
      <c r="CT165" s="6"/>
      <c r="CU165" s="6"/>
      <c r="CV165" s="6"/>
      <c r="CW165" s="6"/>
      <c r="CX165" s="6"/>
      <c r="CY165" s="6"/>
      <c r="CZ165" s="6"/>
      <c r="DA165" s="343">
        <f t="shared" si="6"/>
        <v>19</v>
      </c>
    </row>
    <row r="166" spans="1:105" ht="20" customHeight="1" x14ac:dyDescent="0.35">
      <c r="A166" s="301"/>
      <c r="B166" s="270" t="s">
        <v>1937</v>
      </c>
      <c r="C166" s="270" t="s">
        <v>1941</v>
      </c>
      <c r="D166" s="270" t="s">
        <v>604</v>
      </c>
      <c r="E166" s="270" t="s">
        <v>1938</v>
      </c>
      <c r="F166" s="270" t="s">
        <v>1939</v>
      </c>
      <c r="G166" s="270" t="s">
        <v>36</v>
      </c>
      <c r="H166" s="298">
        <v>21.5</v>
      </c>
      <c r="I166" s="286"/>
      <c r="J166" s="286"/>
      <c r="K166" s="286"/>
      <c r="L166" s="286"/>
      <c r="M166" s="286"/>
      <c r="N166" s="286"/>
      <c r="O166" s="286"/>
      <c r="P166" s="286"/>
      <c r="Q166" s="286"/>
      <c r="R166" s="286"/>
      <c r="S166" s="286"/>
      <c r="T166" s="286"/>
      <c r="U166" s="286"/>
      <c r="V166" s="286"/>
      <c r="W166" s="286"/>
      <c r="X166" s="286"/>
      <c r="Y166" s="286"/>
      <c r="Z166" s="286"/>
      <c r="AA166" s="286"/>
      <c r="AB166" s="286"/>
      <c r="AC166" s="286"/>
      <c r="AD166" s="286"/>
      <c r="AE166" s="286"/>
      <c r="AF166" s="286"/>
      <c r="AG166" s="286"/>
      <c r="AH166" s="286"/>
      <c r="AI166" s="286"/>
      <c r="AJ166" s="286"/>
      <c r="AK166" s="287"/>
      <c r="AL166" s="288"/>
      <c r="AM166" s="287"/>
      <c r="AN166" s="287"/>
      <c r="AO166" s="287"/>
      <c r="AP166" s="286"/>
      <c r="AQ166" s="296"/>
      <c r="AR166" s="286"/>
      <c r="AS166" s="286"/>
      <c r="AT166" s="28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7"/>
      <c r="BE166" s="287"/>
      <c r="BF166" s="287"/>
      <c r="BG166" s="287"/>
      <c r="BH166" s="287"/>
      <c r="BI166" s="287"/>
      <c r="BJ166" s="287"/>
      <c r="BK166" s="287"/>
      <c r="BL166" s="287"/>
      <c r="BM166" s="287"/>
      <c r="BN166" s="287"/>
      <c r="BO166" s="287"/>
      <c r="BP166" s="287"/>
      <c r="BQ166" s="287"/>
      <c r="BR166" s="287"/>
      <c r="BS166" s="289"/>
      <c r="BT166" s="289"/>
      <c r="BU166" s="289"/>
      <c r="BV166" s="289"/>
      <c r="BW166" s="289"/>
      <c r="BX166" s="286"/>
      <c r="BY166" s="289"/>
      <c r="BZ166" s="289"/>
      <c r="CA166" s="289"/>
      <c r="CB166" s="289"/>
      <c r="CC166" s="289"/>
      <c r="CD166" s="289"/>
      <c r="CE166" s="289"/>
      <c r="CF166" s="289"/>
      <c r="CG166" s="289"/>
      <c r="CH166" s="289"/>
      <c r="CI166" s="289"/>
      <c r="CJ166" s="289"/>
      <c r="CK166" s="289"/>
      <c r="CL166" s="289"/>
      <c r="CM166" s="289"/>
      <c r="CN166" s="289"/>
      <c r="CO166" s="287"/>
      <c r="CP166" s="287"/>
      <c r="CQ166" s="287"/>
      <c r="CR166" s="287"/>
      <c r="CS166" s="6"/>
      <c r="CT166" s="6"/>
      <c r="CU166" s="6"/>
      <c r="CV166" s="6"/>
      <c r="CW166" s="6"/>
      <c r="CX166" s="6"/>
      <c r="CY166" s="6"/>
      <c r="CZ166" s="6"/>
      <c r="DA166" s="343">
        <f t="shared" si="6"/>
        <v>21.5</v>
      </c>
    </row>
    <row r="167" spans="1:105" ht="20" customHeight="1" x14ac:dyDescent="0.35">
      <c r="A167" s="301"/>
      <c r="B167" s="270" t="s">
        <v>1940</v>
      </c>
      <c r="C167" s="270" t="s">
        <v>1941</v>
      </c>
      <c r="D167" s="270" t="s">
        <v>604</v>
      </c>
      <c r="E167" s="270" t="s">
        <v>1938</v>
      </c>
      <c r="F167" s="270" t="s">
        <v>1942</v>
      </c>
      <c r="G167" s="270" t="s">
        <v>31</v>
      </c>
      <c r="H167" s="298">
        <f>H166/12</f>
        <v>1.7916666666666667</v>
      </c>
      <c r="I167" s="289"/>
      <c r="J167" s="286">
        <v>2.5</v>
      </c>
      <c r="K167" s="286"/>
      <c r="L167" s="286"/>
      <c r="M167" s="286"/>
      <c r="N167" s="286"/>
      <c r="O167" s="286"/>
      <c r="P167" s="286"/>
      <c r="Q167" s="286"/>
      <c r="R167" s="286"/>
      <c r="S167" s="286"/>
      <c r="T167" s="286"/>
      <c r="U167" s="286"/>
      <c r="V167" s="286"/>
      <c r="W167" s="286"/>
      <c r="X167" s="286"/>
      <c r="Y167" s="286"/>
      <c r="Z167" s="286"/>
      <c r="AA167" s="286"/>
      <c r="AB167" s="286"/>
      <c r="AC167" s="286"/>
      <c r="AD167" s="286"/>
      <c r="AE167" s="286"/>
      <c r="AF167" s="286"/>
      <c r="AG167" s="286"/>
      <c r="AH167" s="286"/>
      <c r="AI167" s="286"/>
      <c r="AJ167" s="286"/>
      <c r="AK167" s="295"/>
      <c r="AL167" s="288"/>
      <c r="AM167" s="287"/>
      <c r="AN167" s="287"/>
      <c r="AO167" s="287"/>
      <c r="AP167" s="286"/>
      <c r="AQ167" s="296"/>
      <c r="AR167" s="286"/>
      <c r="AS167" s="286"/>
      <c r="AT167" s="28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7"/>
      <c r="BE167" s="287"/>
      <c r="BF167" s="287"/>
      <c r="BG167" s="288"/>
      <c r="BH167" s="287">
        <v>2.5</v>
      </c>
      <c r="BI167" s="287"/>
      <c r="BJ167" s="287"/>
      <c r="BK167" s="287"/>
      <c r="BL167" s="287"/>
      <c r="BM167" s="287"/>
      <c r="BN167" s="287"/>
      <c r="BO167" s="287"/>
      <c r="BP167" s="287"/>
      <c r="BQ167" s="287"/>
      <c r="BR167" s="287"/>
      <c r="BS167" s="289"/>
      <c r="BT167" s="289"/>
      <c r="BU167" s="289"/>
      <c r="BV167" s="289"/>
      <c r="BW167" s="289"/>
      <c r="BX167" s="286"/>
      <c r="BY167" s="289"/>
      <c r="BZ167" s="289"/>
      <c r="CA167" s="289"/>
      <c r="CB167" s="289"/>
      <c r="CC167" s="289"/>
      <c r="CD167" s="289"/>
      <c r="CE167" s="289"/>
      <c r="CF167" s="289"/>
      <c r="CG167" s="289"/>
      <c r="CH167" s="289"/>
      <c r="CI167" s="289"/>
      <c r="CJ167" s="289"/>
      <c r="CK167" s="289"/>
      <c r="CL167" s="289"/>
      <c r="CM167" s="289"/>
      <c r="CN167" s="289"/>
      <c r="CO167" s="287"/>
      <c r="CP167" s="287"/>
      <c r="CQ167" s="287"/>
      <c r="CR167" s="287"/>
      <c r="CS167" s="289"/>
      <c r="CT167" s="6"/>
      <c r="CU167" s="6"/>
      <c r="CV167" s="6"/>
      <c r="CW167" s="6"/>
      <c r="CX167" s="6"/>
      <c r="CY167" s="6"/>
      <c r="CZ167" s="6"/>
      <c r="DA167" s="343">
        <f t="shared" si="6"/>
        <v>1.7916666666666667</v>
      </c>
    </row>
    <row r="168" spans="1:105" ht="20" customHeight="1" x14ac:dyDescent="0.35">
      <c r="A168" s="301"/>
      <c r="B168" s="270" t="s">
        <v>800</v>
      </c>
      <c r="C168" s="270" t="s">
        <v>1302</v>
      </c>
      <c r="D168" s="270"/>
      <c r="E168" s="270" t="s">
        <v>607</v>
      </c>
      <c r="F168" s="270" t="s">
        <v>608</v>
      </c>
      <c r="G168" s="270"/>
      <c r="H168" s="298"/>
      <c r="I168" s="286"/>
      <c r="J168" s="286"/>
      <c r="K168" s="286"/>
      <c r="L168" s="286"/>
      <c r="M168" s="286"/>
      <c r="N168" s="286"/>
      <c r="O168" s="286"/>
      <c r="P168" s="286"/>
      <c r="Q168" s="286"/>
      <c r="R168" s="286"/>
      <c r="S168" s="286"/>
      <c r="T168" s="286"/>
      <c r="U168" s="286"/>
      <c r="V168" s="286"/>
      <c r="W168" s="286"/>
      <c r="X168" s="286"/>
      <c r="Y168" s="286"/>
      <c r="Z168" s="286"/>
      <c r="AA168" s="286"/>
      <c r="AB168" s="286"/>
      <c r="AC168" s="286"/>
      <c r="AD168" s="286"/>
      <c r="AE168" s="286"/>
      <c r="AF168" s="286"/>
      <c r="AG168" s="286"/>
      <c r="AH168" s="286"/>
      <c r="AI168" s="286"/>
      <c r="AJ168" s="286"/>
      <c r="AK168" s="287"/>
      <c r="AL168" s="288"/>
      <c r="AM168" s="287"/>
      <c r="AN168" s="287"/>
      <c r="AO168" s="287"/>
      <c r="AP168" s="286"/>
      <c r="AQ168" s="296"/>
      <c r="AR168" s="286"/>
      <c r="AS168" s="286"/>
      <c r="AT168" s="28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7"/>
      <c r="BE168" s="287"/>
      <c r="BF168" s="287"/>
      <c r="BG168" s="287"/>
      <c r="BH168" s="287"/>
      <c r="BI168" s="287"/>
      <c r="BJ168" s="287"/>
      <c r="BK168" s="287"/>
      <c r="BL168" s="287"/>
      <c r="BM168" s="287"/>
      <c r="BN168" s="287"/>
      <c r="BO168" s="287"/>
      <c r="BP168" s="287"/>
      <c r="BQ168" s="287"/>
      <c r="BR168" s="287"/>
      <c r="BS168" s="289"/>
      <c r="BT168" s="289"/>
      <c r="BU168" s="289"/>
      <c r="BV168" s="289"/>
      <c r="BW168" s="289"/>
      <c r="BX168" s="286"/>
      <c r="BY168" s="289"/>
      <c r="BZ168" s="289"/>
      <c r="CA168" s="289"/>
      <c r="CB168" s="289"/>
      <c r="CC168" s="289"/>
      <c r="CD168" s="289"/>
      <c r="CE168" s="289"/>
      <c r="CF168" s="289"/>
      <c r="CG168" s="289"/>
      <c r="CH168" s="289"/>
      <c r="CI168" s="289"/>
      <c r="CJ168" s="289"/>
      <c r="CK168" s="289"/>
      <c r="CL168" s="289"/>
      <c r="CM168" s="289"/>
      <c r="CN168" s="289"/>
      <c r="CO168" s="287"/>
      <c r="CP168" s="287"/>
      <c r="CQ168" s="287"/>
      <c r="CR168" s="287"/>
      <c r="CS168" s="280">
        <v>15</v>
      </c>
      <c r="CT168" s="6"/>
      <c r="CU168" s="6"/>
      <c r="CV168" s="6"/>
      <c r="CW168" s="6"/>
      <c r="CX168" s="6"/>
      <c r="CY168" s="6"/>
      <c r="CZ168" s="6"/>
      <c r="DA168" s="343">
        <f t="shared" si="6"/>
        <v>0</v>
      </c>
    </row>
    <row r="169" spans="1:105" ht="20" customHeight="1" x14ac:dyDescent="0.35">
      <c r="A169" s="301"/>
      <c r="B169" s="270" t="s">
        <v>1888</v>
      </c>
      <c r="C169" s="270" t="s">
        <v>1302</v>
      </c>
      <c r="D169" s="270"/>
      <c r="E169" s="270" t="s">
        <v>607</v>
      </c>
      <c r="F169" s="270" t="s">
        <v>1889</v>
      </c>
      <c r="G169" s="270" t="s">
        <v>44</v>
      </c>
      <c r="H169" s="298">
        <v>1</v>
      </c>
      <c r="I169" s="286"/>
      <c r="J169" s="286">
        <v>1.3</v>
      </c>
      <c r="K169" s="286"/>
      <c r="L169" s="286"/>
      <c r="M169" s="286"/>
      <c r="N169" s="286"/>
      <c r="O169" s="286"/>
      <c r="P169" s="286"/>
      <c r="Q169" s="286"/>
      <c r="R169" s="286"/>
      <c r="S169" s="286"/>
      <c r="T169" s="286"/>
      <c r="U169" s="286"/>
      <c r="V169" s="286"/>
      <c r="W169" s="286"/>
      <c r="X169" s="286"/>
      <c r="Y169" s="286"/>
      <c r="Z169" s="286"/>
      <c r="AA169" s="286"/>
      <c r="AB169" s="286"/>
      <c r="AC169" s="286"/>
      <c r="AD169" s="286"/>
      <c r="AE169" s="286"/>
      <c r="AF169" s="286"/>
      <c r="AG169" s="286"/>
      <c r="AH169" s="286"/>
      <c r="AI169" s="286"/>
      <c r="AJ169" s="286"/>
      <c r="AK169" s="287"/>
      <c r="AL169" s="288"/>
      <c r="AM169" s="287"/>
      <c r="AN169" s="287"/>
      <c r="AO169" s="287"/>
      <c r="AP169" s="286"/>
      <c r="AQ169" s="296"/>
      <c r="AR169" s="286"/>
      <c r="AS169" s="286"/>
      <c r="AT169" s="28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7"/>
      <c r="BE169" s="287"/>
      <c r="BF169" s="287"/>
      <c r="BG169" s="287"/>
      <c r="BH169" s="287">
        <v>1.3</v>
      </c>
      <c r="BI169" s="287"/>
      <c r="BJ169" s="287"/>
      <c r="BK169" s="287"/>
      <c r="BL169" s="287"/>
      <c r="BM169" s="287"/>
      <c r="BN169" s="287"/>
      <c r="BO169" s="287"/>
      <c r="BP169" s="287"/>
      <c r="BQ169" s="287"/>
      <c r="BR169" s="287"/>
      <c r="BS169" s="289"/>
      <c r="BT169" s="289"/>
      <c r="BU169" s="289"/>
      <c r="BV169" s="289"/>
      <c r="BW169" s="289"/>
      <c r="BX169" s="286"/>
      <c r="BY169" s="289"/>
      <c r="BZ169" s="289"/>
      <c r="CA169" s="289"/>
      <c r="CB169" s="289"/>
      <c r="CC169" s="289"/>
      <c r="CD169" s="289"/>
      <c r="CE169" s="289"/>
      <c r="CF169" s="289"/>
      <c r="CG169" s="289"/>
      <c r="CH169" s="289"/>
      <c r="CI169" s="289"/>
      <c r="CJ169" s="289"/>
      <c r="CK169" s="289"/>
      <c r="CL169" s="289"/>
      <c r="CM169" s="289"/>
      <c r="CN169" s="289"/>
      <c r="CO169" s="287"/>
      <c r="CP169" s="287"/>
      <c r="CQ169" s="287"/>
      <c r="CR169" s="287"/>
      <c r="CS169" s="280"/>
      <c r="CT169" s="6"/>
      <c r="CU169" s="6"/>
      <c r="CV169" s="6"/>
      <c r="CW169" s="6"/>
      <c r="CX169" s="6"/>
      <c r="CY169" s="6"/>
      <c r="CZ169" s="6"/>
      <c r="DA169" s="343">
        <f t="shared" si="6"/>
        <v>1</v>
      </c>
    </row>
    <row r="170" spans="1:105" ht="20" customHeight="1" x14ac:dyDescent="0.35">
      <c r="A170" s="301"/>
      <c r="B170" s="270" t="s">
        <v>801</v>
      </c>
      <c r="C170" s="306" t="s">
        <v>1604</v>
      </c>
      <c r="D170" s="270" t="s">
        <v>623</v>
      </c>
      <c r="E170" s="270" t="s">
        <v>1237</v>
      </c>
      <c r="F170" s="270" t="s">
        <v>62</v>
      </c>
      <c r="G170" s="270"/>
      <c r="H170" s="298"/>
      <c r="I170" s="286"/>
      <c r="J170" s="286"/>
      <c r="K170" s="286"/>
      <c r="L170" s="286"/>
      <c r="M170" s="286"/>
      <c r="N170" s="286"/>
      <c r="O170" s="286"/>
      <c r="P170" s="286"/>
      <c r="Q170" s="286"/>
      <c r="R170" s="286"/>
      <c r="S170" s="286"/>
      <c r="T170" s="286"/>
      <c r="U170" s="286"/>
      <c r="V170" s="286"/>
      <c r="W170" s="286"/>
      <c r="X170" s="286"/>
      <c r="Y170" s="286"/>
      <c r="Z170" s="286"/>
      <c r="AA170" s="286"/>
      <c r="AB170" s="286"/>
      <c r="AC170" s="286"/>
      <c r="AD170" s="286"/>
      <c r="AE170" s="286"/>
      <c r="AF170" s="286"/>
      <c r="AG170" s="286"/>
      <c r="AH170" s="286"/>
      <c r="AI170" s="286"/>
      <c r="AJ170" s="286"/>
      <c r="AK170" s="287"/>
      <c r="AL170" s="288"/>
      <c r="AM170" s="287"/>
      <c r="AN170" s="287"/>
      <c r="AO170" s="287"/>
      <c r="AP170" s="286"/>
      <c r="AQ170" s="296"/>
      <c r="AR170" s="286"/>
      <c r="AS170" s="286"/>
      <c r="AT170" s="28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7"/>
      <c r="BE170" s="287"/>
      <c r="BF170" s="287"/>
      <c r="BG170" s="287"/>
      <c r="BH170" s="287"/>
      <c r="BI170" s="287"/>
      <c r="BJ170" s="287"/>
      <c r="BK170" s="287"/>
      <c r="BL170" s="287"/>
      <c r="BM170" s="287"/>
      <c r="BN170" s="287"/>
      <c r="BO170" s="287"/>
      <c r="BP170" s="287"/>
      <c r="BQ170" s="287"/>
      <c r="BR170" s="287"/>
      <c r="BS170" s="289"/>
      <c r="BT170" s="289"/>
      <c r="BU170" s="289"/>
      <c r="BV170" s="289"/>
      <c r="BW170" s="289"/>
      <c r="BX170" s="286"/>
      <c r="BY170" s="289"/>
      <c r="BZ170" s="289"/>
      <c r="CA170" s="289"/>
      <c r="CB170" s="289"/>
      <c r="CC170" s="289"/>
      <c r="CD170" s="289"/>
      <c r="CE170" s="289"/>
      <c r="CF170" s="289"/>
      <c r="CG170" s="289"/>
      <c r="CH170" s="289"/>
      <c r="CI170" s="289"/>
      <c r="CJ170" s="289"/>
      <c r="CK170" s="289"/>
      <c r="CL170" s="289"/>
      <c r="CM170" s="289"/>
      <c r="CN170" s="289"/>
      <c r="CO170" s="287"/>
      <c r="CP170" s="287"/>
      <c r="CQ170" s="287"/>
      <c r="CR170" s="287"/>
      <c r="CS170" s="292">
        <v>10</v>
      </c>
      <c r="CT170" s="6"/>
      <c r="CU170" s="6"/>
      <c r="CV170" s="6"/>
      <c r="CW170" s="6"/>
      <c r="CX170" s="6"/>
      <c r="CY170" s="6"/>
      <c r="CZ170" s="6"/>
      <c r="DA170" s="343">
        <f t="shared" si="6"/>
        <v>0</v>
      </c>
    </row>
    <row r="171" spans="1:105" ht="20" customHeight="1" x14ac:dyDescent="0.35">
      <c r="A171" s="301"/>
      <c r="B171" s="270" t="s">
        <v>1079</v>
      </c>
      <c r="C171" s="306" t="s">
        <v>1605</v>
      </c>
      <c r="D171" s="270" t="s">
        <v>623</v>
      </c>
      <c r="E171" s="270" t="s">
        <v>1241</v>
      </c>
      <c r="F171" s="270" t="s">
        <v>62</v>
      </c>
      <c r="G171" s="270" t="s">
        <v>38</v>
      </c>
      <c r="H171" s="298"/>
      <c r="I171" s="286"/>
      <c r="J171" s="286"/>
      <c r="K171" s="286"/>
      <c r="L171" s="286"/>
      <c r="M171" s="286"/>
      <c r="N171" s="286"/>
      <c r="O171" s="286"/>
      <c r="P171" s="286"/>
      <c r="Q171" s="286"/>
      <c r="R171" s="286">
        <v>38</v>
      </c>
      <c r="S171" s="286"/>
      <c r="T171" s="286"/>
      <c r="U171" s="286"/>
      <c r="V171" s="286"/>
      <c r="W171" s="286"/>
      <c r="X171" s="286"/>
      <c r="Y171" s="286"/>
      <c r="Z171" s="286"/>
      <c r="AA171" s="286"/>
      <c r="AB171" s="286"/>
      <c r="AC171" s="286"/>
      <c r="AD171" s="286"/>
      <c r="AE171" s="286"/>
      <c r="AF171" s="286"/>
      <c r="AG171" s="286"/>
      <c r="AH171" s="286"/>
      <c r="AI171" s="286"/>
      <c r="AJ171" s="286"/>
      <c r="AK171" s="287"/>
      <c r="AL171" s="288"/>
      <c r="AM171" s="287"/>
      <c r="AN171" s="287"/>
      <c r="AO171" s="287"/>
      <c r="AP171" s="286"/>
      <c r="AQ171" s="296"/>
      <c r="AR171" s="286"/>
      <c r="AS171" s="286"/>
      <c r="AT171" s="28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7"/>
      <c r="BE171" s="287"/>
      <c r="BF171" s="287"/>
      <c r="BG171" s="287"/>
      <c r="BH171" s="287"/>
      <c r="BI171" s="287"/>
      <c r="BJ171" s="287"/>
      <c r="BK171" s="287"/>
      <c r="BL171" s="287"/>
      <c r="BM171" s="287"/>
      <c r="BN171" s="287"/>
      <c r="BO171" s="287"/>
      <c r="BP171" s="287"/>
      <c r="BQ171" s="287"/>
      <c r="BR171" s="287"/>
      <c r="BS171" s="289"/>
      <c r="BT171" s="289"/>
      <c r="BU171" s="289"/>
      <c r="BV171" s="289"/>
      <c r="BW171" s="289"/>
      <c r="BX171" s="286"/>
      <c r="BY171" s="289"/>
      <c r="BZ171" s="289"/>
      <c r="CA171" s="289"/>
      <c r="CB171" s="289"/>
      <c r="CC171" s="289"/>
      <c r="CD171" s="289"/>
      <c r="CE171" s="289"/>
      <c r="CF171" s="289"/>
      <c r="CG171" s="289"/>
      <c r="CH171" s="289"/>
      <c r="CI171" s="289"/>
      <c r="CJ171" s="289"/>
      <c r="CK171" s="289"/>
      <c r="CL171" s="289"/>
      <c r="CM171" s="289"/>
      <c r="CN171" s="289"/>
      <c r="CO171" s="287"/>
      <c r="CP171" s="287"/>
      <c r="CQ171" s="287"/>
      <c r="CR171" s="287"/>
      <c r="CS171" s="292">
        <v>4.5</v>
      </c>
      <c r="CT171" s="6"/>
      <c r="CU171" s="6"/>
      <c r="CV171" s="6"/>
      <c r="CW171" s="6"/>
      <c r="CX171" s="6"/>
      <c r="CY171" s="6"/>
      <c r="CZ171" s="6"/>
      <c r="DA171" s="343">
        <f t="shared" si="6"/>
        <v>0</v>
      </c>
    </row>
    <row r="172" spans="1:105" ht="20" customHeight="1" x14ac:dyDescent="0.35">
      <c r="A172" s="301"/>
      <c r="B172" s="270" t="s">
        <v>1104</v>
      </c>
      <c r="C172" s="306" t="s">
        <v>1238</v>
      </c>
      <c r="D172" s="270" t="s">
        <v>34</v>
      </c>
      <c r="E172" s="270" t="s">
        <v>1105</v>
      </c>
      <c r="F172" s="270" t="s">
        <v>422</v>
      </c>
      <c r="G172" s="270" t="s">
        <v>44</v>
      </c>
      <c r="H172" s="298"/>
      <c r="I172" s="286"/>
      <c r="J172" s="286"/>
      <c r="K172" s="286"/>
      <c r="L172" s="286"/>
      <c r="M172" s="286"/>
      <c r="N172" s="286"/>
      <c r="O172" s="286"/>
      <c r="P172" s="286"/>
      <c r="Q172" s="286"/>
      <c r="R172" s="286"/>
      <c r="S172" s="286"/>
      <c r="T172" s="286"/>
      <c r="U172" s="286"/>
      <c r="V172" s="286"/>
      <c r="W172" s="286"/>
      <c r="X172" s="286"/>
      <c r="Y172" s="286"/>
      <c r="Z172" s="286"/>
      <c r="AA172" s="286"/>
      <c r="AB172" s="286"/>
      <c r="AC172" s="286"/>
      <c r="AD172" s="286"/>
      <c r="AE172" s="286"/>
      <c r="AF172" s="286"/>
      <c r="AG172" s="286"/>
      <c r="AH172" s="286"/>
      <c r="AI172" s="286"/>
      <c r="AJ172" s="286"/>
      <c r="AK172" s="287"/>
      <c r="AL172" s="288"/>
      <c r="AM172" s="287"/>
      <c r="AN172" s="287"/>
      <c r="AO172" s="287"/>
      <c r="AP172" s="286"/>
      <c r="AQ172" s="296"/>
      <c r="AR172" s="286"/>
      <c r="AS172" s="286"/>
      <c r="AT172" s="28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7"/>
      <c r="BE172" s="287"/>
      <c r="BF172" s="287"/>
      <c r="BG172" s="287"/>
      <c r="BH172" s="287"/>
      <c r="BI172" s="287"/>
      <c r="BJ172" s="287"/>
      <c r="BK172" s="287"/>
      <c r="BL172" s="287"/>
      <c r="BM172" s="287"/>
      <c r="BN172" s="287"/>
      <c r="BO172" s="287"/>
      <c r="BP172" s="287"/>
      <c r="BQ172" s="287"/>
      <c r="BR172" s="287"/>
      <c r="BS172" s="289"/>
      <c r="BT172" s="289">
        <v>36</v>
      </c>
      <c r="BU172" s="289"/>
      <c r="BV172" s="289"/>
      <c r="BW172" s="289"/>
      <c r="BX172" s="286"/>
      <c r="BY172" s="289"/>
      <c r="BZ172" s="289"/>
      <c r="CA172" s="289"/>
      <c r="CB172" s="289"/>
      <c r="CC172" s="289"/>
      <c r="CD172" s="289"/>
      <c r="CE172" s="289"/>
      <c r="CF172" s="289"/>
      <c r="CG172" s="289"/>
      <c r="CH172" s="289"/>
      <c r="CI172" s="289"/>
      <c r="CJ172" s="289"/>
      <c r="CK172" s="289"/>
      <c r="CL172" s="289"/>
      <c r="CM172" s="289"/>
      <c r="CN172" s="289"/>
      <c r="CO172" s="287"/>
      <c r="CP172" s="287"/>
      <c r="CQ172" s="287"/>
      <c r="CR172" s="287"/>
      <c r="CS172" s="303">
        <v>6</v>
      </c>
      <c r="CT172" s="6"/>
      <c r="CU172" s="6"/>
      <c r="CV172" s="6"/>
      <c r="CW172" s="6"/>
      <c r="CX172" s="6"/>
      <c r="CY172" s="6"/>
      <c r="CZ172" s="6"/>
      <c r="DA172" s="343">
        <f t="shared" si="6"/>
        <v>0</v>
      </c>
    </row>
    <row r="173" spans="1:105" ht="20" customHeight="1" x14ac:dyDescent="0.35">
      <c r="A173" s="301"/>
      <c r="B173" s="270" t="s">
        <v>1109</v>
      </c>
      <c r="C173" s="306" t="s">
        <v>1734</v>
      </c>
      <c r="D173" s="270" t="s">
        <v>623</v>
      </c>
      <c r="E173" s="270" t="s">
        <v>1237</v>
      </c>
      <c r="F173" s="270" t="s">
        <v>62</v>
      </c>
      <c r="G173" s="270" t="s">
        <v>44</v>
      </c>
      <c r="H173" s="298">
        <v>12</v>
      </c>
      <c r="I173" s="286">
        <v>15</v>
      </c>
      <c r="J173" s="286"/>
      <c r="K173" s="286"/>
      <c r="L173" s="286"/>
      <c r="M173" s="286"/>
      <c r="N173" s="286"/>
      <c r="O173" s="286"/>
      <c r="P173" s="286"/>
      <c r="Q173" s="286"/>
      <c r="R173" s="286"/>
      <c r="S173" s="286"/>
      <c r="T173" s="286"/>
      <c r="U173" s="286"/>
      <c r="V173" s="286"/>
      <c r="W173" s="286"/>
      <c r="X173" s="286"/>
      <c r="Y173" s="286"/>
      <c r="Z173" s="286"/>
      <c r="AA173" s="286"/>
      <c r="AB173" s="286"/>
      <c r="AC173" s="286"/>
      <c r="AD173" s="286"/>
      <c r="AE173" s="286"/>
      <c r="AF173" s="286"/>
      <c r="AG173" s="286"/>
      <c r="AH173" s="286"/>
      <c r="AI173" s="286"/>
      <c r="AJ173" s="286"/>
      <c r="AK173" s="287"/>
      <c r="AL173" s="288"/>
      <c r="AM173" s="287"/>
      <c r="AN173" s="287"/>
      <c r="AO173" s="287"/>
      <c r="AP173" s="286"/>
      <c r="AQ173" s="296"/>
      <c r="AR173" s="286"/>
      <c r="AS173" s="286"/>
      <c r="AT173" s="28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7"/>
      <c r="BE173" s="287"/>
      <c r="BF173" s="287"/>
      <c r="BG173" s="287"/>
      <c r="BH173" s="287"/>
      <c r="BI173" s="287"/>
      <c r="BJ173" s="287"/>
      <c r="BK173" s="287"/>
      <c r="BL173" s="287"/>
      <c r="BM173" s="287"/>
      <c r="BN173" s="287"/>
      <c r="BO173" s="287"/>
      <c r="BP173" s="287"/>
      <c r="BQ173" s="287"/>
      <c r="BR173" s="287"/>
      <c r="BS173" s="289"/>
      <c r="BT173" s="289"/>
      <c r="BU173" s="289"/>
      <c r="BV173" s="289"/>
      <c r="BW173" s="289"/>
      <c r="BX173" s="286"/>
      <c r="BY173" s="289"/>
      <c r="BZ173" s="289"/>
      <c r="CA173" s="289"/>
      <c r="CB173" s="289"/>
      <c r="CC173" s="289"/>
      <c r="CD173" s="289"/>
      <c r="CE173" s="289"/>
      <c r="CF173" s="289"/>
      <c r="CG173" s="289"/>
      <c r="CH173" s="289"/>
      <c r="CI173" s="289"/>
      <c r="CJ173" s="289"/>
      <c r="CK173" s="289"/>
      <c r="CL173" s="289"/>
      <c r="CM173" s="289"/>
      <c r="CN173" s="289"/>
      <c r="CO173" s="287"/>
      <c r="CP173" s="287"/>
      <c r="CQ173" s="287">
        <v>15</v>
      </c>
      <c r="CR173" s="287"/>
      <c r="CS173" s="288">
        <f>I173</f>
        <v>15</v>
      </c>
      <c r="CT173" s="6"/>
      <c r="CU173" s="6"/>
      <c r="CV173" s="6"/>
      <c r="CW173" s="6"/>
      <c r="CX173" s="6"/>
      <c r="CY173" s="6"/>
      <c r="CZ173" s="6"/>
      <c r="DA173" s="343">
        <f t="shared" si="6"/>
        <v>12</v>
      </c>
    </row>
    <row r="174" spans="1:105" ht="20" customHeight="1" x14ac:dyDescent="0.35">
      <c r="A174" s="301"/>
      <c r="B174" s="270" t="s">
        <v>1112</v>
      </c>
      <c r="C174" s="306" t="s">
        <v>1239</v>
      </c>
      <c r="D174" s="270" t="s">
        <v>623</v>
      </c>
      <c r="E174" s="270" t="s">
        <v>802</v>
      </c>
      <c r="F174" s="270" t="s">
        <v>1816</v>
      </c>
      <c r="G174" s="270" t="s">
        <v>77</v>
      </c>
      <c r="H174" s="298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6"/>
      <c r="V174" s="286"/>
      <c r="W174" s="286"/>
      <c r="X174" s="286"/>
      <c r="Y174" s="286"/>
      <c r="Z174" s="286"/>
      <c r="AA174" s="286"/>
      <c r="AB174" s="286"/>
      <c r="AC174" s="286"/>
      <c r="AD174" s="286"/>
      <c r="AE174" s="286"/>
      <c r="AF174" s="286"/>
      <c r="AG174" s="286"/>
      <c r="AH174" s="286"/>
      <c r="AI174" s="286"/>
      <c r="AJ174" s="286"/>
      <c r="AK174" s="287"/>
      <c r="AL174" s="288"/>
      <c r="AM174" s="287"/>
      <c r="AN174" s="287"/>
      <c r="AO174" s="287"/>
      <c r="AP174" s="286"/>
      <c r="AQ174" s="296"/>
      <c r="AR174" s="286"/>
      <c r="AS174" s="286"/>
      <c r="AT174" s="28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7"/>
      <c r="BE174" s="287"/>
      <c r="BF174" s="287"/>
      <c r="BG174" s="287"/>
      <c r="BH174" s="287"/>
      <c r="BI174" s="287"/>
      <c r="BJ174" s="287"/>
      <c r="BK174" s="287"/>
      <c r="BL174" s="287"/>
      <c r="BM174" s="287"/>
      <c r="BN174" s="287"/>
      <c r="BO174" s="287"/>
      <c r="BP174" s="287"/>
      <c r="BQ174" s="287"/>
      <c r="BR174" s="287"/>
      <c r="BS174" s="289"/>
      <c r="BT174" s="289"/>
      <c r="BU174" s="289"/>
      <c r="BV174" s="289"/>
      <c r="BW174" s="289"/>
      <c r="BX174" s="286"/>
      <c r="BY174" s="289"/>
      <c r="BZ174" s="289"/>
      <c r="CA174" s="289"/>
      <c r="CB174" s="289"/>
      <c r="CC174" s="289"/>
      <c r="CD174" s="289"/>
      <c r="CE174" s="289"/>
      <c r="CF174" s="289"/>
      <c r="CG174" s="289"/>
      <c r="CH174" s="289"/>
      <c r="CI174" s="289"/>
      <c r="CJ174" s="289"/>
      <c r="CK174" s="289"/>
      <c r="CL174" s="289"/>
      <c r="CM174" s="289"/>
      <c r="CN174" s="289"/>
      <c r="CO174" s="287"/>
      <c r="CP174" s="287"/>
      <c r="CQ174" s="287"/>
      <c r="CR174" s="287"/>
      <c r="CS174" s="6"/>
      <c r="CT174" s="6"/>
      <c r="CU174" s="6"/>
      <c r="CV174" s="6"/>
      <c r="CW174" s="6"/>
      <c r="CX174" s="6"/>
      <c r="CY174" s="6"/>
      <c r="CZ174" s="6"/>
      <c r="DA174" s="343">
        <f t="shared" si="6"/>
        <v>0</v>
      </c>
    </row>
    <row r="175" spans="1:105" ht="20" customHeight="1" x14ac:dyDescent="0.35">
      <c r="A175" s="301"/>
      <c r="B175" s="270" t="s">
        <v>1113</v>
      </c>
      <c r="C175" s="306" t="s">
        <v>1240</v>
      </c>
      <c r="D175" s="270" t="s">
        <v>623</v>
      </c>
      <c r="E175" s="270" t="s">
        <v>802</v>
      </c>
      <c r="F175" s="270" t="s">
        <v>62</v>
      </c>
      <c r="G175" s="270" t="s">
        <v>44</v>
      </c>
      <c r="H175" s="298"/>
      <c r="I175" s="286"/>
      <c r="J175" s="286"/>
      <c r="K175" s="286"/>
      <c r="L175" s="286"/>
      <c r="M175" s="286"/>
      <c r="N175" s="286"/>
      <c r="O175" s="286"/>
      <c r="P175" s="286"/>
      <c r="Q175" s="286"/>
      <c r="R175" s="286"/>
      <c r="S175" s="286"/>
      <c r="T175" s="286"/>
      <c r="U175" s="286"/>
      <c r="V175" s="286"/>
      <c r="W175" s="286"/>
      <c r="X175" s="286"/>
      <c r="Y175" s="286"/>
      <c r="Z175" s="286"/>
      <c r="AA175" s="286"/>
      <c r="AB175" s="286"/>
      <c r="AC175" s="286"/>
      <c r="AD175" s="286"/>
      <c r="AE175" s="286"/>
      <c r="AF175" s="286"/>
      <c r="AG175" s="286"/>
      <c r="AH175" s="286"/>
      <c r="AI175" s="286"/>
      <c r="AJ175" s="286"/>
      <c r="AK175" s="287"/>
      <c r="AL175" s="288"/>
      <c r="AM175" s="287"/>
      <c r="AN175" s="287"/>
      <c r="AO175" s="287"/>
      <c r="AP175" s="286"/>
      <c r="AQ175" s="296"/>
      <c r="AR175" s="286"/>
      <c r="AS175" s="286"/>
      <c r="AT175" s="28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7"/>
      <c r="BE175" s="287"/>
      <c r="BF175" s="287"/>
      <c r="BG175" s="287"/>
      <c r="BH175" s="287"/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9"/>
      <c r="BT175" s="289"/>
      <c r="BU175" s="289"/>
      <c r="BV175" s="289"/>
      <c r="BW175" s="289"/>
      <c r="BX175" s="286"/>
      <c r="BY175" s="289"/>
      <c r="BZ175" s="289"/>
      <c r="CA175" s="289"/>
      <c r="CB175" s="289"/>
      <c r="CC175" s="289"/>
      <c r="CD175" s="289"/>
      <c r="CE175" s="289"/>
      <c r="CF175" s="289"/>
      <c r="CG175" s="289"/>
      <c r="CH175" s="289"/>
      <c r="CI175" s="289"/>
      <c r="CJ175" s="289"/>
      <c r="CK175" s="289"/>
      <c r="CL175" s="289"/>
      <c r="CM175" s="289"/>
      <c r="CN175" s="289"/>
      <c r="CO175" s="287"/>
      <c r="CP175" s="287"/>
      <c r="CQ175" s="287"/>
      <c r="CR175" s="287"/>
      <c r="CS175" s="6"/>
      <c r="CT175" s="6"/>
      <c r="CU175" s="6"/>
      <c r="CV175" s="6"/>
      <c r="CW175" s="6"/>
      <c r="CX175" s="6"/>
      <c r="CY175" s="6"/>
      <c r="CZ175" s="6"/>
      <c r="DA175" s="343">
        <f t="shared" si="6"/>
        <v>0</v>
      </c>
    </row>
    <row r="176" spans="1:105" ht="20" customHeight="1" x14ac:dyDescent="0.35">
      <c r="A176" s="301" t="s">
        <v>1277</v>
      </c>
      <c r="B176" s="270" t="s">
        <v>1236</v>
      </c>
      <c r="C176" s="306" t="s">
        <v>1606</v>
      </c>
      <c r="D176" s="270" t="s">
        <v>632</v>
      </c>
      <c r="E176" s="270" t="s">
        <v>1502</v>
      </c>
      <c r="F176" s="270" t="s">
        <v>1742</v>
      </c>
      <c r="G176" s="270" t="s">
        <v>522</v>
      </c>
      <c r="H176" s="298">
        <v>0.57999999999999996</v>
      </c>
      <c r="I176" s="289">
        <v>0.95</v>
      </c>
      <c r="J176" s="292">
        <v>0.9</v>
      </c>
      <c r="K176" s="286"/>
      <c r="L176" s="286"/>
      <c r="M176" s="286"/>
      <c r="N176" s="286"/>
      <c r="O176" s="286"/>
      <c r="P176" s="286"/>
      <c r="Q176" s="286"/>
      <c r="R176" s="286"/>
      <c r="S176" s="286"/>
      <c r="T176" s="286">
        <v>0.9</v>
      </c>
      <c r="U176" s="286"/>
      <c r="V176" s="286"/>
      <c r="W176" s="286"/>
      <c r="X176" s="286"/>
      <c r="Y176" s="286"/>
      <c r="Z176" s="286"/>
      <c r="AA176" s="286"/>
      <c r="AB176" s="286"/>
      <c r="AC176" s="286"/>
      <c r="AD176" s="286"/>
      <c r="AE176" s="286"/>
      <c r="AF176" s="286"/>
      <c r="AG176" s="286"/>
      <c r="AH176" s="286"/>
      <c r="AI176" s="286"/>
      <c r="AJ176" s="286"/>
      <c r="AK176" s="287">
        <v>1</v>
      </c>
      <c r="AL176" s="288"/>
      <c r="AM176" s="287"/>
      <c r="AN176" s="287"/>
      <c r="AO176" s="287"/>
      <c r="AP176" s="286"/>
      <c r="AQ176" s="296">
        <v>0.8</v>
      </c>
      <c r="AR176" s="286"/>
      <c r="AS176" s="286"/>
      <c r="AT176" s="286"/>
      <c r="AU176" s="286"/>
      <c r="AV176" s="286"/>
      <c r="AW176" s="286"/>
      <c r="AX176" s="286"/>
      <c r="AY176" s="286"/>
      <c r="AZ176" s="286">
        <v>0.9</v>
      </c>
      <c r="BA176" s="286"/>
      <c r="BB176" s="286"/>
      <c r="BC176" s="286"/>
      <c r="BD176" s="287"/>
      <c r="BE176" s="287"/>
      <c r="BF176" s="287"/>
      <c r="BG176" s="288">
        <v>1.2</v>
      </c>
      <c r="BH176" s="287">
        <v>0.9</v>
      </c>
      <c r="BI176" s="287"/>
      <c r="BJ176" s="287"/>
      <c r="BK176" s="287"/>
      <c r="BL176" s="287"/>
      <c r="BM176" s="287"/>
      <c r="BN176" s="287"/>
      <c r="BO176" s="287"/>
      <c r="BP176" s="287"/>
      <c r="BQ176" s="287"/>
      <c r="BR176" s="287"/>
      <c r="BS176" s="289"/>
      <c r="BT176" s="289"/>
      <c r="BU176" s="289"/>
      <c r="BV176" s="289"/>
      <c r="BW176" s="289"/>
      <c r="BX176" s="286"/>
      <c r="BY176" s="289"/>
      <c r="BZ176" s="289"/>
      <c r="CA176" s="289"/>
      <c r="CB176" s="289"/>
      <c r="CC176" s="289"/>
      <c r="CD176" s="289"/>
      <c r="CE176" s="289"/>
      <c r="CF176" s="289"/>
      <c r="CG176" s="289"/>
      <c r="CH176" s="289"/>
      <c r="CI176" s="289"/>
      <c r="CJ176" s="289"/>
      <c r="CK176" s="289"/>
      <c r="CL176" s="289"/>
      <c r="CM176" s="289"/>
      <c r="CN176" s="289"/>
      <c r="CO176" s="287"/>
      <c r="CP176" s="287"/>
      <c r="CQ176" s="287">
        <v>0.95</v>
      </c>
      <c r="CR176" s="287"/>
      <c r="CS176" s="6"/>
      <c r="CT176" s="6"/>
      <c r="CU176" s="6"/>
      <c r="CV176" s="6"/>
      <c r="CW176" s="6"/>
      <c r="CX176" s="6"/>
      <c r="CY176" s="6"/>
      <c r="CZ176" s="6"/>
      <c r="DA176" s="343">
        <f t="shared" si="6"/>
        <v>0.57999999999999996</v>
      </c>
    </row>
    <row r="177" spans="1:105" ht="20" customHeight="1" x14ac:dyDescent="0.35">
      <c r="A177" s="301"/>
      <c r="B177" s="270" t="s">
        <v>1283</v>
      </c>
      <c r="C177" s="306" t="s">
        <v>1284</v>
      </c>
      <c r="D177" s="270" t="s">
        <v>623</v>
      </c>
      <c r="E177" s="270" t="s">
        <v>34</v>
      </c>
      <c r="F177" s="270" t="s">
        <v>62</v>
      </c>
      <c r="G177" s="270" t="s">
        <v>44</v>
      </c>
      <c r="H177" s="298">
        <v>15.5</v>
      </c>
      <c r="I177" s="286"/>
      <c r="J177" s="286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6"/>
      <c r="Y177" s="286"/>
      <c r="Z177" s="286"/>
      <c r="AA177" s="286"/>
      <c r="AB177" s="286"/>
      <c r="AC177" s="286"/>
      <c r="AD177" s="286"/>
      <c r="AE177" s="286"/>
      <c r="AF177" s="286"/>
      <c r="AG177" s="286"/>
      <c r="AH177" s="286"/>
      <c r="AI177" s="286"/>
      <c r="AJ177" s="286"/>
      <c r="AK177" s="287"/>
      <c r="AL177" s="288"/>
      <c r="AM177" s="287"/>
      <c r="AN177" s="287"/>
      <c r="AO177" s="287"/>
      <c r="AP177" s="286"/>
      <c r="AQ177" s="296"/>
      <c r="AR177" s="286"/>
      <c r="AS177" s="286"/>
      <c r="AT177" s="28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7"/>
      <c r="BE177" s="287"/>
      <c r="BF177" s="287"/>
      <c r="BG177" s="287"/>
      <c r="BH177" s="287"/>
      <c r="BI177" s="287"/>
      <c r="BJ177" s="287"/>
      <c r="BK177" s="287"/>
      <c r="BL177" s="287"/>
      <c r="BM177" s="287"/>
      <c r="BN177" s="287"/>
      <c r="BO177" s="287"/>
      <c r="BP177" s="287"/>
      <c r="BQ177" s="287"/>
      <c r="BR177" s="287"/>
      <c r="BS177" s="289"/>
      <c r="BT177" s="289"/>
      <c r="BU177" s="289">
        <v>21</v>
      </c>
      <c r="BV177" s="289"/>
      <c r="BW177" s="289"/>
      <c r="BX177" s="286"/>
      <c r="BY177" s="289"/>
      <c r="BZ177" s="289"/>
      <c r="CA177" s="289"/>
      <c r="CB177" s="289"/>
      <c r="CC177" s="289"/>
      <c r="CD177" s="289"/>
      <c r="CE177" s="289"/>
      <c r="CF177" s="289"/>
      <c r="CG177" s="289"/>
      <c r="CH177" s="289"/>
      <c r="CI177" s="289"/>
      <c r="CJ177" s="289"/>
      <c r="CK177" s="289"/>
      <c r="CL177" s="289"/>
      <c r="CM177" s="289"/>
      <c r="CN177" s="289"/>
      <c r="CO177" s="287"/>
      <c r="CP177" s="287"/>
      <c r="CQ177" s="287"/>
      <c r="CR177" s="287"/>
      <c r="CS177" s="6"/>
      <c r="CT177" s="6"/>
      <c r="CU177" s="6"/>
      <c r="CV177" s="6"/>
      <c r="CW177" s="6"/>
      <c r="CX177" s="6"/>
      <c r="CY177" s="6"/>
      <c r="CZ177" s="6"/>
      <c r="DA177" s="343">
        <f t="shared" si="6"/>
        <v>15.5</v>
      </c>
    </row>
    <row r="178" spans="1:105" ht="20" customHeight="1" x14ac:dyDescent="0.35">
      <c r="A178" s="301"/>
      <c r="B178" s="270" t="s">
        <v>1744</v>
      </c>
      <c r="C178" s="306" t="s">
        <v>1746</v>
      </c>
      <c r="D178" s="270" t="s">
        <v>623</v>
      </c>
      <c r="E178" s="270" t="s">
        <v>1747</v>
      </c>
      <c r="F178" s="270" t="s">
        <v>1745</v>
      </c>
      <c r="G178" s="270" t="s">
        <v>44</v>
      </c>
      <c r="H178" s="298">
        <v>6.9</v>
      </c>
      <c r="I178" s="286"/>
      <c r="J178" s="292">
        <v>8.5</v>
      </c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6"/>
      <c r="Y178" s="286"/>
      <c r="Z178" s="286"/>
      <c r="AA178" s="286"/>
      <c r="AB178" s="286"/>
      <c r="AC178" s="286"/>
      <c r="AD178" s="286"/>
      <c r="AE178" s="286"/>
      <c r="AF178" s="286"/>
      <c r="AG178" s="286"/>
      <c r="AH178" s="286"/>
      <c r="AI178" s="286"/>
      <c r="AJ178" s="286"/>
      <c r="AK178" s="287"/>
      <c r="AL178" s="288"/>
      <c r="AM178" s="287"/>
      <c r="AN178" s="287"/>
      <c r="AO178" s="287"/>
      <c r="AP178" s="286"/>
      <c r="AQ178" s="296"/>
      <c r="AR178" s="286"/>
      <c r="AS178" s="286"/>
      <c r="AT178" s="28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7"/>
      <c r="BE178" s="287"/>
      <c r="BF178" s="287"/>
      <c r="BG178" s="287"/>
      <c r="BH178" s="287"/>
      <c r="BI178" s="287"/>
      <c r="BJ178" s="287"/>
      <c r="BK178" s="287"/>
      <c r="BL178" s="287"/>
      <c r="BM178" s="287"/>
      <c r="BN178" s="287"/>
      <c r="BO178" s="287"/>
      <c r="BP178" s="287"/>
      <c r="BQ178" s="287"/>
      <c r="BR178" s="287"/>
      <c r="BS178" s="289"/>
      <c r="BT178" s="289"/>
      <c r="BU178" s="289"/>
      <c r="BV178" s="289"/>
      <c r="BW178" s="289"/>
      <c r="BX178" s="286"/>
      <c r="BY178" s="289"/>
      <c r="BZ178" s="289"/>
      <c r="CA178" s="289"/>
      <c r="CB178" s="289"/>
      <c r="CC178" s="289"/>
      <c r="CD178" s="289"/>
      <c r="CE178" s="289"/>
      <c r="CF178" s="289"/>
      <c r="CG178" s="289"/>
      <c r="CH178" s="289"/>
      <c r="CI178" s="289"/>
      <c r="CJ178" s="289"/>
      <c r="CK178" s="289"/>
      <c r="CL178" s="289"/>
      <c r="CM178" s="289"/>
      <c r="CN178" s="289"/>
      <c r="CO178" s="287"/>
      <c r="CP178" s="287"/>
      <c r="CQ178" s="287"/>
      <c r="CR178" s="287"/>
      <c r="CS178" s="6"/>
      <c r="CT178" s="6"/>
      <c r="CU178" s="6"/>
      <c r="CV178" s="6"/>
      <c r="CW178" s="6"/>
      <c r="CX178" s="6"/>
      <c r="CY178" s="6"/>
      <c r="CZ178" s="6"/>
      <c r="DA178" s="343">
        <f t="shared" si="6"/>
        <v>6.9</v>
      </c>
    </row>
    <row r="179" spans="1:105" ht="20" customHeight="1" x14ac:dyDescent="0.35">
      <c r="A179" s="301"/>
      <c r="B179" s="270" t="s">
        <v>1752</v>
      </c>
      <c r="C179" s="306" t="s">
        <v>1746</v>
      </c>
      <c r="D179" s="270" t="s">
        <v>623</v>
      </c>
      <c r="E179" s="270" t="s">
        <v>1747</v>
      </c>
      <c r="F179" s="270" t="s">
        <v>62</v>
      </c>
      <c r="G179" s="270" t="s">
        <v>44</v>
      </c>
      <c r="H179" s="349">
        <v>41</v>
      </c>
      <c r="I179" s="286"/>
      <c r="J179" s="292">
        <v>60</v>
      </c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6"/>
      <c r="Y179" s="286"/>
      <c r="Z179" s="286"/>
      <c r="AA179" s="286"/>
      <c r="AB179" s="286"/>
      <c r="AC179" s="286"/>
      <c r="AD179" s="286"/>
      <c r="AE179" s="286"/>
      <c r="AF179" s="286"/>
      <c r="AG179" s="286"/>
      <c r="AH179" s="286"/>
      <c r="AI179" s="286"/>
      <c r="AJ179" s="286"/>
      <c r="AK179" s="287"/>
      <c r="AL179" s="288"/>
      <c r="AM179" s="287"/>
      <c r="AN179" s="287"/>
      <c r="AO179" s="287"/>
      <c r="AP179" s="286"/>
      <c r="AQ179" s="296"/>
      <c r="AR179" s="286"/>
      <c r="AS179" s="286"/>
      <c r="AT179" s="28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7"/>
      <c r="BO179" s="287"/>
      <c r="BP179" s="287"/>
      <c r="BQ179" s="287"/>
      <c r="BR179" s="287"/>
      <c r="BS179" s="289"/>
      <c r="BT179" s="289"/>
      <c r="BU179" s="289"/>
      <c r="BV179" s="289"/>
      <c r="BW179" s="289"/>
      <c r="BX179" s="286"/>
      <c r="BY179" s="289"/>
      <c r="BZ179" s="289"/>
      <c r="CA179" s="289"/>
      <c r="CB179" s="289"/>
      <c r="CC179" s="289"/>
      <c r="CD179" s="289"/>
      <c r="CE179" s="289"/>
      <c r="CF179" s="289"/>
      <c r="CG179" s="289"/>
      <c r="CH179" s="289"/>
      <c r="CI179" s="289"/>
      <c r="CJ179" s="289"/>
      <c r="CK179" s="289"/>
      <c r="CL179" s="289"/>
      <c r="CM179" s="289"/>
      <c r="CN179" s="289"/>
      <c r="CO179" s="287"/>
      <c r="CP179" s="287"/>
      <c r="CQ179" s="287">
        <v>48</v>
      </c>
      <c r="CR179" s="287"/>
      <c r="CS179" s="6"/>
      <c r="CT179" s="6"/>
      <c r="CU179" s="6"/>
      <c r="CV179" s="6"/>
      <c r="CW179" s="6"/>
      <c r="CX179" s="6"/>
      <c r="CY179" s="6"/>
      <c r="CZ179" s="6"/>
      <c r="DA179" s="343">
        <f t="shared" si="6"/>
        <v>41</v>
      </c>
    </row>
    <row r="180" spans="1:105" ht="20" customHeight="1" x14ac:dyDescent="0.35">
      <c r="A180" s="301" t="s">
        <v>2117</v>
      </c>
      <c r="B180" s="270" t="s">
        <v>2043</v>
      </c>
      <c r="C180" s="306" t="s">
        <v>2047</v>
      </c>
      <c r="D180" s="270" t="s">
        <v>34</v>
      </c>
      <c r="E180" s="270" t="s">
        <v>2048</v>
      </c>
      <c r="F180" s="270" t="s">
        <v>62</v>
      </c>
      <c r="G180" s="270" t="s">
        <v>38</v>
      </c>
      <c r="H180" s="349"/>
      <c r="I180" s="286">
        <v>45</v>
      </c>
      <c r="J180" s="292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6"/>
      <c r="Y180" s="286"/>
      <c r="Z180" s="286"/>
      <c r="AA180" s="286"/>
      <c r="AB180" s="286"/>
      <c r="AC180" s="286"/>
      <c r="AD180" s="286"/>
      <c r="AE180" s="286"/>
      <c r="AF180" s="286"/>
      <c r="AG180" s="286"/>
      <c r="AH180" s="286"/>
      <c r="AI180" s="286"/>
      <c r="AJ180" s="286"/>
      <c r="AK180" s="287"/>
      <c r="AL180" s="288"/>
      <c r="AM180" s="287"/>
      <c r="AN180" s="287"/>
      <c r="AO180" s="287"/>
      <c r="AP180" s="286"/>
      <c r="AQ180" s="296"/>
      <c r="AR180" s="286"/>
      <c r="AS180" s="286"/>
      <c r="AT180" s="28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7"/>
      <c r="BE180" s="287"/>
      <c r="BF180" s="287"/>
      <c r="BG180" s="287"/>
      <c r="BH180" s="287"/>
      <c r="BI180" s="287"/>
      <c r="BJ180" s="287"/>
      <c r="BK180" s="287"/>
      <c r="BL180" s="287"/>
      <c r="BM180" s="287"/>
      <c r="BN180" s="287"/>
      <c r="BO180" s="287"/>
      <c r="BP180" s="287"/>
      <c r="BQ180" s="287"/>
      <c r="BR180" s="287"/>
      <c r="BS180" s="289"/>
      <c r="BT180" s="289"/>
      <c r="BU180" s="289"/>
      <c r="BV180" s="289"/>
      <c r="BW180" s="289"/>
      <c r="BX180" s="286"/>
      <c r="BY180" s="289"/>
      <c r="BZ180" s="289"/>
      <c r="CA180" s="289"/>
      <c r="CB180" s="289"/>
      <c r="CC180" s="289"/>
      <c r="CD180" s="289"/>
      <c r="CE180" s="289"/>
      <c r="CF180" s="289"/>
      <c r="CG180" s="289"/>
      <c r="CH180" s="289"/>
      <c r="CI180" s="289"/>
      <c r="CJ180" s="289"/>
      <c r="CK180" s="289"/>
      <c r="CL180" s="289"/>
      <c r="CM180" s="289"/>
      <c r="CN180" s="289"/>
      <c r="CO180" s="287"/>
      <c r="CP180" s="287"/>
      <c r="CQ180" s="287">
        <v>45</v>
      </c>
      <c r="CR180" s="287"/>
      <c r="CS180" s="6"/>
      <c r="CT180" s="6"/>
      <c r="CU180" s="6"/>
      <c r="CV180" s="6"/>
      <c r="CW180" s="6"/>
      <c r="CX180" s="6"/>
      <c r="CY180" s="6"/>
      <c r="CZ180" s="6"/>
      <c r="DA180" s="343"/>
    </row>
    <row r="181" spans="1:105" ht="20" customHeight="1" x14ac:dyDescent="0.35">
      <c r="A181" s="301">
        <v>522057</v>
      </c>
      <c r="B181" s="270" t="s">
        <v>2141</v>
      </c>
      <c r="C181" s="306" t="s">
        <v>2215</v>
      </c>
      <c r="D181" s="270" t="s">
        <v>34</v>
      </c>
      <c r="E181" s="270" t="s">
        <v>34</v>
      </c>
      <c r="F181" s="270" t="s">
        <v>1570</v>
      </c>
      <c r="G181" s="270" t="s">
        <v>44</v>
      </c>
      <c r="H181" s="349"/>
      <c r="I181" s="286">
        <v>18</v>
      </c>
      <c r="J181" s="292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6"/>
      <c r="Y181" s="286"/>
      <c r="Z181" s="286"/>
      <c r="AA181" s="286"/>
      <c r="AB181" s="286"/>
      <c r="AC181" s="286"/>
      <c r="AD181" s="286"/>
      <c r="AE181" s="286"/>
      <c r="AF181" s="286"/>
      <c r="AG181" s="286"/>
      <c r="AH181" s="286"/>
      <c r="AI181" s="286"/>
      <c r="AJ181" s="286"/>
      <c r="AK181" s="287"/>
      <c r="AL181" s="288"/>
      <c r="AM181" s="287"/>
      <c r="AN181" s="287"/>
      <c r="AO181" s="287"/>
      <c r="AP181" s="286"/>
      <c r="AQ181" s="296"/>
      <c r="AR181" s="286"/>
      <c r="AS181" s="286"/>
      <c r="AT181" s="28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7"/>
      <c r="BE181" s="287"/>
      <c r="BF181" s="287"/>
      <c r="BG181" s="287"/>
      <c r="BH181" s="287"/>
      <c r="BI181" s="287"/>
      <c r="BJ181" s="287"/>
      <c r="BK181" s="287"/>
      <c r="BL181" s="287"/>
      <c r="BM181" s="287"/>
      <c r="BN181" s="287"/>
      <c r="BO181" s="287"/>
      <c r="BP181" s="287"/>
      <c r="BQ181" s="287"/>
      <c r="BR181" s="287"/>
      <c r="BS181" s="289"/>
      <c r="BT181" s="289"/>
      <c r="BU181" s="289"/>
      <c r="BV181" s="289"/>
      <c r="BW181" s="289"/>
      <c r="BX181" s="286"/>
      <c r="BY181" s="289"/>
      <c r="BZ181" s="289"/>
      <c r="CA181" s="289"/>
      <c r="CB181" s="289"/>
      <c r="CC181" s="289"/>
      <c r="CD181" s="289"/>
      <c r="CE181" s="289"/>
      <c r="CF181" s="289"/>
      <c r="CG181" s="289"/>
      <c r="CH181" s="289"/>
      <c r="CI181" s="289"/>
      <c r="CJ181" s="289"/>
      <c r="CK181" s="289"/>
      <c r="CL181" s="289"/>
      <c r="CM181" s="289"/>
      <c r="CN181" s="289"/>
      <c r="CO181" s="287"/>
      <c r="CP181" s="287"/>
      <c r="CQ181" s="287"/>
      <c r="CR181" s="287"/>
      <c r="CS181" s="6"/>
      <c r="CT181" s="6"/>
      <c r="CU181" s="6"/>
      <c r="CV181" s="6"/>
      <c r="CW181" s="6"/>
      <c r="CX181" s="6"/>
      <c r="CY181" s="6"/>
      <c r="CZ181" s="6"/>
      <c r="DA181" s="343"/>
    </row>
    <row r="182" spans="1:105" ht="20" customHeight="1" x14ac:dyDescent="0.35">
      <c r="A182" s="301"/>
      <c r="B182" s="270" t="s">
        <v>2142</v>
      </c>
      <c r="C182" s="306" t="s">
        <v>2144</v>
      </c>
      <c r="D182" s="270" t="s">
        <v>34</v>
      </c>
      <c r="E182" s="270" t="s">
        <v>34</v>
      </c>
      <c r="F182" s="270" t="s">
        <v>1570</v>
      </c>
      <c r="G182" s="270" t="s">
        <v>44</v>
      </c>
      <c r="H182" s="349"/>
      <c r="I182" s="286">
        <v>18</v>
      </c>
      <c r="J182" s="292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6"/>
      <c r="Y182" s="286"/>
      <c r="Z182" s="286"/>
      <c r="AA182" s="286"/>
      <c r="AB182" s="286"/>
      <c r="AC182" s="286"/>
      <c r="AD182" s="286"/>
      <c r="AE182" s="286"/>
      <c r="AF182" s="286"/>
      <c r="AG182" s="286"/>
      <c r="AH182" s="286"/>
      <c r="AI182" s="286"/>
      <c r="AJ182" s="286"/>
      <c r="AK182" s="287"/>
      <c r="AL182" s="288"/>
      <c r="AM182" s="287"/>
      <c r="AN182" s="287"/>
      <c r="AO182" s="287"/>
      <c r="AP182" s="286"/>
      <c r="AQ182" s="296"/>
      <c r="AR182" s="286"/>
      <c r="AS182" s="286"/>
      <c r="AT182" s="28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7"/>
      <c r="BE182" s="287"/>
      <c r="BF182" s="287"/>
      <c r="BG182" s="287"/>
      <c r="BH182" s="287"/>
      <c r="BI182" s="287"/>
      <c r="BJ182" s="287"/>
      <c r="BK182" s="287"/>
      <c r="BL182" s="287"/>
      <c r="BM182" s="287"/>
      <c r="BN182" s="287"/>
      <c r="BO182" s="287"/>
      <c r="BP182" s="287"/>
      <c r="BQ182" s="287"/>
      <c r="BR182" s="287"/>
      <c r="BS182" s="289"/>
      <c r="BT182" s="289"/>
      <c r="BU182" s="289"/>
      <c r="BV182" s="289"/>
      <c r="BW182" s="289"/>
      <c r="BX182" s="286"/>
      <c r="BY182" s="289"/>
      <c r="BZ182" s="289"/>
      <c r="CA182" s="289"/>
      <c r="CB182" s="289"/>
      <c r="CC182" s="289"/>
      <c r="CD182" s="289"/>
      <c r="CE182" s="289"/>
      <c r="CF182" s="289"/>
      <c r="CG182" s="289"/>
      <c r="CH182" s="289"/>
      <c r="CI182" s="289"/>
      <c r="CJ182" s="289"/>
      <c r="CK182" s="289"/>
      <c r="CL182" s="289"/>
      <c r="CM182" s="289"/>
      <c r="CN182" s="289"/>
      <c r="CO182" s="287"/>
      <c r="CP182" s="287"/>
      <c r="CQ182" s="287"/>
      <c r="CR182" s="287"/>
      <c r="CS182" s="6"/>
      <c r="CT182" s="6"/>
      <c r="CU182" s="6"/>
      <c r="CV182" s="6"/>
      <c r="CW182" s="6"/>
      <c r="CX182" s="6"/>
      <c r="CY182" s="6"/>
      <c r="CZ182" s="6"/>
      <c r="DA182" s="343"/>
    </row>
    <row r="183" spans="1:105" ht="20" customHeight="1" x14ac:dyDescent="0.35">
      <c r="A183" s="301">
        <v>522058</v>
      </c>
      <c r="B183" s="270" t="s">
        <v>2143</v>
      </c>
      <c r="C183" s="306" t="s">
        <v>2145</v>
      </c>
      <c r="D183" s="270" t="s">
        <v>34</v>
      </c>
      <c r="E183" s="270" t="s">
        <v>34</v>
      </c>
      <c r="F183" s="270" t="s">
        <v>1570</v>
      </c>
      <c r="G183" s="270" t="s">
        <v>44</v>
      </c>
      <c r="H183" s="349"/>
      <c r="I183" s="286">
        <v>18</v>
      </c>
      <c r="J183" s="292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6"/>
      <c r="Y183" s="286"/>
      <c r="Z183" s="286"/>
      <c r="AA183" s="286"/>
      <c r="AB183" s="286"/>
      <c r="AC183" s="286"/>
      <c r="AD183" s="286"/>
      <c r="AE183" s="286"/>
      <c r="AF183" s="286"/>
      <c r="AG183" s="286"/>
      <c r="AH183" s="286"/>
      <c r="AI183" s="286"/>
      <c r="AJ183" s="286"/>
      <c r="AK183" s="287"/>
      <c r="AL183" s="288"/>
      <c r="AM183" s="287"/>
      <c r="AN183" s="287"/>
      <c r="AO183" s="287"/>
      <c r="AP183" s="286"/>
      <c r="AQ183" s="296"/>
      <c r="AR183" s="286"/>
      <c r="AS183" s="286"/>
      <c r="AT183" s="28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7"/>
      <c r="BE183" s="287"/>
      <c r="BF183" s="287"/>
      <c r="BG183" s="287"/>
      <c r="BH183" s="287"/>
      <c r="BI183" s="287"/>
      <c r="BJ183" s="287"/>
      <c r="BK183" s="287"/>
      <c r="BL183" s="287"/>
      <c r="BM183" s="287"/>
      <c r="BN183" s="287"/>
      <c r="BO183" s="287"/>
      <c r="BP183" s="287"/>
      <c r="BQ183" s="287"/>
      <c r="BR183" s="287"/>
      <c r="BS183" s="289"/>
      <c r="BT183" s="289"/>
      <c r="BU183" s="289"/>
      <c r="BV183" s="289"/>
      <c r="BW183" s="289"/>
      <c r="BX183" s="286"/>
      <c r="BY183" s="289"/>
      <c r="BZ183" s="289"/>
      <c r="CA183" s="289"/>
      <c r="CB183" s="289"/>
      <c r="CC183" s="289"/>
      <c r="CD183" s="289"/>
      <c r="CE183" s="289"/>
      <c r="CF183" s="289"/>
      <c r="CG183" s="289"/>
      <c r="CH183" s="289"/>
      <c r="CI183" s="289"/>
      <c r="CJ183" s="289"/>
      <c r="CK183" s="289"/>
      <c r="CL183" s="289"/>
      <c r="CM183" s="289"/>
      <c r="CN183" s="289"/>
      <c r="CO183" s="287"/>
      <c r="CP183" s="287"/>
      <c r="CQ183" s="287"/>
      <c r="CR183" s="287"/>
      <c r="CS183" s="6"/>
      <c r="CT183" s="6"/>
      <c r="CU183" s="6"/>
      <c r="CV183" s="6"/>
      <c r="CW183" s="6"/>
      <c r="CX183" s="6"/>
      <c r="CY183" s="6"/>
      <c r="CZ183" s="6"/>
      <c r="DA183" s="343"/>
    </row>
    <row r="184" spans="1:105" ht="20" customHeight="1" x14ac:dyDescent="0.35">
      <c r="A184" s="301"/>
      <c r="B184" s="270" t="s">
        <v>2217</v>
      </c>
      <c r="C184" s="306" t="s">
        <v>2218</v>
      </c>
      <c r="D184" s="270" t="s">
        <v>34</v>
      </c>
      <c r="E184" s="270" t="s">
        <v>34</v>
      </c>
      <c r="F184" s="270" t="s">
        <v>1569</v>
      </c>
      <c r="G184" s="270" t="s">
        <v>44</v>
      </c>
      <c r="H184" s="349"/>
      <c r="I184" s="286"/>
      <c r="J184" s="292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6"/>
      <c r="Y184" s="286"/>
      <c r="Z184" s="286"/>
      <c r="AA184" s="286">
        <v>8</v>
      </c>
      <c r="AB184" s="286"/>
      <c r="AC184" s="286"/>
      <c r="AD184" s="286"/>
      <c r="AE184" s="286"/>
      <c r="AF184" s="286"/>
      <c r="AG184" s="286"/>
      <c r="AH184" s="286"/>
      <c r="AI184" s="286"/>
      <c r="AJ184" s="286"/>
      <c r="AK184" s="287"/>
      <c r="AL184" s="288"/>
      <c r="AM184" s="287"/>
      <c r="AN184" s="287"/>
      <c r="AO184" s="287"/>
      <c r="AP184" s="286"/>
      <c r="AQ184" s="296"/>
      <c r="AR184" s="286"/>
      <c r="AS184" s="286"/>
      <c r="AT184" s="28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7"/>
      <c r="BE184" s="287"/>
      <c r="BF184" s="287"/>
      <c r="BG184" s="287"/>
      <c r="BH184" s="287"/>
      <c r="BI184" s="287"/>
      <c r="BJ184" s="287"/>
      <c r="BK184" s="287"/>
      <c r="BL184" s="287"/>
      <c r="BM184" s="287"/>
      <c r="BN184" s="287"/>
      <c r="BO184" s="287"/>
      <c r="BP184" s="287"/>
      <c r="BQ184" s="287"/>
      <c r="BR184" s="287"/>
      <c r="BS184" s="289"/>
      <c r="BT184" s="289"/>
      <c r="BU184" s="289"/>
      <c r="BV184" s="289"/>
      <c r="BW184" s="289"/>
      <c r="BX184" s="286"/>
      <c r="BY184" s="289"/>
      <c r="BZ184" s="289"/>
      <c r="CA184" s="289"/>
      <c r="CB184" s="289"/>
      <c r="CC184" s="289"/>
      <c r="CD184" s="289"/>
      <c r="CE184" s="289"/>
      <c r="CF184" s="289"/>
      <c r="CG184" s="289"/>
      <c r="CH184" s="289"/>
      <c r="CI184" s="289"/>
      <c r="CJ184" s="289"/>
      <c r="CK184" s="289"/>
      <c r="CL184" s="289"/>
      <c r="CM184" s="289"/>
      <c r="CN184" s="289"/>
      <c r="CO184" s="287"/>
      <c r="CP184" s="287"/>
      <c r="CQ184" s="287"/>
      <c r="CR184" s="287"/>
      <c r="CS184" s="6"/>
      <c r="CT184" s="6"/>
      <c r="CU184" s="6"/>
      <c r="CV184" s="6"/>
      <c r="CW184" s="6"/>
      <c r="CX184" s="6"/>
      <c r="CY184" s="6"/>
      <c r="CZ184" s="6"/>
      <c r="DA184" s="343"/>
    </row>
    <row r="185" spans="1:105" ht="20" customHeight="1" x14ac:dyDescent="0.35">
      <c r="A185" s="290"/>
      <c r="B185" s="270" t="s">
        <v>803</v>
      </c>
      <c r="C185" s="270" t="s">
        <v>1607</v>
      </c>
      <c r="D185" s="270" t="s">
        <v>312</v>
      </c>
      <c r="E185" s="270" t="s">
        <v>199</v>
      </c>
      <c r="F185" s="270" t="s">
        <v>198</v>
      </c>
      <c r="G185" s="270" t="s">
        <v>77</v>
      </c>
      <c r="H185" s="349">
        <v>55</v>
      </c>
      <c r="I185" s="286">
        <v>0</v>
      </c>
      <c r="J185" s="286">
        <v>0</v>
      </c>
      <c r="K185" s="286"/>
      <c r="L185" s="286"/>
      <c r="M185" s="286"/>
      <c r="N185" s="286"/>
      <c r="O185" s="286"/>
      <c r="P185" s="286"/>
      <c r="Q185" s="286"/>
      <c r="R185" s="286"/>
      <c r="S185" s="286"/>
      <c r="T185" s="286">
        <v>0</v>
      </c>
      <c r="U185" s="286"/>
      <c r="V185" s="294"/>
      <c r="W185" s="286"/>
      <c r="X185" s="286"/>
      <c r="Y185" s="286"/>
      <c r="Z185" s="286"/>
      <c r="AA185" s="286"/>
      <c r="AB185" s="286"/>
      <c r="AC185" s="300">
        <v>68</v>
      </c>
      <c r="AD185" s="286"/>
      <c r="AE185" s="286"/>
      <c r="AF185" s="286"/>
      <c r="AG185" s="286"/>
      <c r="AH185" s="286"/>
      <c r="AI185" s="286"/>
      <c r="AJ185" s="286"/>
      <c r="AK185" s="287"/>
      <c r="AL185" s="288"/>
      <c r="AM185" s="287"/>
      <c r="AN185" s="287"/>
      <c r="AO185" s="287"/>
      <c r="AP185" s="286"/>
      <c r="AQ185" s="296"/>
      <c r="AR185" s="286"/>
      <c r="AS185" s="286"/>
      <c r="AT185" s="28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7"/>
      <c r="BE185" s="287"/>
      <c r="BF185" s="287"/>
      <c r="BG185" s="288">
        <v>66</v>
      </c>
      <c r="BH185" s="287"/>
      <c r="BI185" s="287"/>
      <c r="BJ185" s="287"/>
      <c r="BK185" s="287"/>
      <c r="BL185" s="287"/>
      <c r="BM185" s="287"/>
      <c r="BN185" s="287"/>
      <c r="BO185" s="287"/>
      <c r="BP185" s="287"/>
      <c r="BQ185" s="287"/>
      <c r="BR185" s="287"/>
      <c r="BS185" s="287"/>
      <c r="BT185" s="287"/>
      <c r="BU185" s="287"/>
      <c r="BV185" s="287"/>
      <c r="BW185" s="287"/>
      <c r="BX185" s="286"/>
      <c r="BY185" s="289"/>
      <c r="BZ185" s="289"/>
      <c r="CA185" s="289"/>
      <c r="CB185" s="289"/>
      <c r="CC185" s="289"/>
      <c r="CD185" s="289"/>
      <c r="CE185" s="289"/>
      <c r="CF185" s="289"/>
      <c r="CG185" s="287"/>
      <c r="CH185" s="287"/>
      <c r="CI185" s="287"/>
      <c r="CJ185" s="287"/>
      <c r="CK185" s="287"/>
      <c r="CL185" s="287"/>
      <c r="CM185" s="287"/>
      <c r="CN185" s="287"/>
      <c r="CO185" s="287"/>
      <c r="CP185" s="287"/>
      <c r="CQ185" s="287"/>
      <c r="CR185" s="287"/>
      <c r="CS185" s="6"/>
      <c r="CT185" s="6"/>
      <c r="CU185" s="6"/>
      <c r="CV185" s="6"/>
      <c r="CW185" s="6"/>
      <c r="CX185" s="6"/>
      <c r="CY185" s="6"/>
      <c r="CZ185" s="6"/>
      <c r="DA185" s="343">
        <f t="shared" si="6"/>
        <v>55</v>
      </c>
    </row>
    <row r="186" spans="1:105" ht="20" customHeight="1" x14ac:dyDescent="0.35">
      <c r="A186" s="290"/>
      <c r="B186" s="270" t="s">
        <v>804</v>
      </c>
      <c r="C186" s="270" t="s">
        <v>1607</v>
      </c>
      <c r="D186" s="270" t="s">
        <v>312</v>
      </c>
      <c r="E186" s="270" t="s">
        <v>54</v>
      </c>
      <c r="F186" s="273" t="s">
        <v>2007</v>
      </c>
      <c r="G186" s="270" t="s">
        <v>39</v>
      </c>
      <c r="H186" s="298">
        <v>9.6</v>
      </c>
      <c r="I186" s="286"/>
      <c r="J186" s="286"/>
      <c r="K186" s="286"/>
      <c r="L186" s="400">
        <v>13.8</v>
      </c>
      <c r="M186" s="286"/>
      <c r="N186" s="292">
        <v>13</v>
      </c>
      <c r="O186" s="286">
        <v>13.5</v>
      </c>
      <c r="P186" s="292">
        <v>13.5</v>
      </c>
      <c r="Q186" s="286">
        <v>12.5</v>
      </c>
      <c r="R186" s="286">
        <v>13.5</v>
      </c>
      <c r="S186" s="286">
        <v>14</v>
      </c>
      <c r="T186" s="286"/>
      <c r="U186" s="286"/>
      <c r="V186" s="313"/>
      <c r="W186" s="286"/>
      <c r="X186" s="286"/>
      <c r="Y186" s="286"/>
      <c r="Z186" s="286">
        <v>12</v>
      </c>
      <c r="AA186" s="286"/>
      <c r="AB186" s="286">
        <v>12.5</v>
      </c>
      <c r="AC186" s="286">
        <v>13.5</v>
      </c>
      <c r="AD186" s="286"/>
      <c r="AE186" s="286">
        <v>13</v>
      </c>
      <c r="AF186" s="286"/>
      <c r="AG186" s="286"/>
      <c r="AH186" s="286"/>
      <c r="AI186" s="286"/>
      <c r="AJ186" s="286">
        <v>12.5</v>
      </c>
      <c r="AK186" s="287"/>
      <c r="AL186" s="288"/>
      <c r="AM186" s="287"/>
      <c r="AN186" s="287"/>
      <c r="AO186" s="286"/>
      <c r="AP186" s="286"/>
      <c r="AQ186" s="296">
        <v>13.5</v>
      </c>
      <c r="AR186" s="286"/>
      <c r="AS186" s="286"/>
      <c r="AT186" s="28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7"/>
      <c r="BE186" s="287"/>
      <c r="BF186" s="287"/>
      <c r="BG186" s="288">
        <v>13</v>
      </c>
      <c r="BH186" s="287"/>
      <c r="BI186" s="287"/>
      <c r="BJ186" s="287"/>
      <c r="BK186" s="299">
        <v>13</v>
      </c>
      <c r="BL186" s="287"/>
      <c r="BM186" s="287"/>
      <c r="BN186" s="287"/>
      <c r="BO186" s="287"/>
      <c r="BP186" s="287"/>
      <c r="BQ186" s="287"/>
      <c r="BR186" s="287">
        <v>12</v>
      </c>
      <c r="BS186" s="287"/>
      <c r="BT186" s="287"/>
      <c r="BU186" s="287">
        <v>11.5</v>
      </c>
      <c r="BV186" s="287"/>
      <c r="BW186" s="287"/>
      <c r="BX186" s="286"/>
      <c r="BY186" s="289"/>
      <c r="BZ186" s="289">
        <v>13.5</v>
      </c>
      <c r="CA186" s="289"/>
      <c r="CB186" s="289"/>
      <c r="CC186" s="289">
        <v>12</v>
      </c>
      <c r="CD186" s="289"/>
      <c r="CE186" s="289"/>
      <c r="CF186" s="289">
        <v>15</v>
      </c>
      <c r="CG186" s="287"/>
      <c r="CH186" s="287"/>
      <c r="CI186" s="287"/>
      <c r="CJ186" s="287"/>
      <c r="CK186" s="287"/>
      <c r="CL186" s="287">
        <v>14</v>
      </c>
      <c r="CM186" s="287"/>
      <c r="CN186" s="287"/>
      <c r="CO186" s="287"/>
      <c r="CP186" s="287"/>
      <c r="CQ186" s="287"/>
      <c r="CR186" s="287">
        <v>14</v>
      </c>
      <c r="CS186" s="6"/>
      <c r="CT186" s="6"/>
      <c r="CU186" s="6"/>
      <c r="CV186" s="6"/>
      <c r="CW186" s="6"/>
      <c r="CX186" s="6"/>
      <c r="CY186" s="6"/>
      <c r="CZ186" s="6"/>
      <c r="DA186" s="343">
        <f t="shared" si="6"/>
        <v>9.6</v>
      </c>
    </row>
    <row r="187" spans="1:105" ht="20" customHeight="1" x14ac:dyDescent="0.35">
      <c r="A187" s="290">
        <v>520695</v>
      </c>
      <c r="B187" s="270" t="s">
        <v>805</v>
      </c>
      <c r="C187" s="270" t="s">
        <v>1607</v>
      </c>
      <c r="D187" s="297" t="s">
        <v>312</v>
      </c>
      <c r="E187" s="270" t="s">
        <v>54</v>
      </c>
      <c r="F187" s="273" t="s">
        <v>2008</v>
      </c>
      <c r="G187" s="270" t="s">
        <v>39</v>
      </c>
      <c r="H187" s="298">
        <v>7.3</v>
      </c>
      <c r="I187" s="292">
        <v>10</v>
      </c>
      <c r="J187" s="292">
        <v>9.5</v>
      </c>
      <c r="K187" s="286"/>
      <c r="L187" s="286"/>
      <c r="M187" s="286"/>
      <c r="N187" s="286"/>
      <c r="O187" s="286">
        <v>9.5</v>
      </c>
      <c r="P187" s="286"/>
      <c r="Q187" s="286"/>
      <c r="R187" s="286"/>
      <c r="S187" s="286"/>
      <c r="T187" s="286">
        <v>9.5</v>
      </c>
      <c r="U187" s="286"/>
      <c r="V187" s="313"/>
      <c r="W187" s="286"/>
      <c r="X187" s="286"/>
      <c r="Y187" s="286"/>
      <c r="Z187" s="286"/>
      <c r="AA187" s="286"/>
      <c r="AB187" s="286"/>
      <c r="AC187" s="286"/>
      <c r="AD187" s="286"/>
      <c r="AE187" s="286"/>
      <c r="AF187" s="286"/>
      <c r="AG187" s="286"/>
      <c r="AH187" s="286"/>
      <c r="AI187" s="286">
        <v>9.5</v>
      </c>
      <c r="AJ187" s="286"/>
      <c r="AK187" s="295">
        <v>12</v>
      </c>
      <c r="AL187" s="286">
        <v>9.5</v>
      </c>
      <c r="AM187" s="287"/>
      <c r="AN187" s="287"/>
      <c r="AO187" s="286">
        <v>9.5</v>
      </c>
      <c r="AP187" s="286">
        <v>9.5</v>
      </c>
      <c r="AQ187" s="296"/>
      <c r="AR187" s="286">
        <v>9.5</v>
      </c>
      <c r="AS187" s="286"/>
      <c r="AT187" s="286">
        <v>9.5</v>
      </c>
      <c r="AU187" s="286">
        <v>9.5</v>
      </c>
      <c r="AV187" s="286">
        <v>9.5</v>
      </c>
      <c r="AW187" s="286">
        <v>9.5</v>
      </c>
      <c r="AX187" s="286">
        <v>9.5</v>
      </c>
      <c r="AY187" s="286">
        <v>9.5</v>
      </c>
      <c r="AZ187" s="286">
        <v>9.5</v>
      </c>
      <c r="BA187" s="286">
        <v>9.5</v>
      </c>
      <c r="BB187" s="286">
        <v>9.5</v>
      </c>
      <c r="BC187" s="286">
        <v>9.5</v>
      </c>
      <c r="BD187" s="287"/>
      <c r="BE187" s="287"/>
      <c r="BF187" s="287"/>
      <c r="BG187" s="287"/>
      <c r="BH187" s="287"/>
      <c r="BI187" s="287"/>
      <c r="BJ187" s="287"/>
      <c r="BK187" s="287"/>
      <c r="BL187" s="287"/>
      <c r="BM187" s="287"/>
      <c r="BN187" s="287"/>
      <c r="BO187" s="287"/>
      <c r="BP187" s="287"/>
      <c r="BQ187" s="287"/>
      <c r="BR187" s="287"/>
      <c r="BS187" s="287"/>
      <c r="BT187" s="287"/>
      <c r="BU187" s="287"/>
      <c r="BV187" s="287"/>
      <c r="BW187" s="287"/>
      <c r="BX187" s="286">
        <f>J187</f>
        <v>9.5</v>
      </c>
      <c r="BY187" s="289"/>
      <c r="BZ187" s="289"/>
      <c r="CA187" s="289"/>
      <c r="CB187" s="289"/>
      <c r="CC187" s="289"/>
      <c r="CD187" s="289"/>
      <c r="CE187" s="289"/>
      <c r="CF187" s="289"/>
      <c r="CG187" s="287"/>
      <c r="CH187" s="287"/>
      <c r="CI187" s="287"/>
      <c r="CJ187" s="287"/>
      <c r="CK187" s="287"/>
      <c r="CL187" s="287"/>
      <c r="CM187" s="286">
        <v>9.5</v>
      </c>
      <c r="CN187" s="292">
        <v>9.5</v>
      </c>
      <c r="CO187" s="292">
        <v>9.5</v>
      </c>
      <c r="CP187" s="287"/>
      <c r="CQ187" s="287">
        <v>10.5</v>
      </c>
      <c r="CR187" s="287"/>
      <c r="CS187" s="288">
        <f>I187</f>
        <v>10</v>
      </c>
      <c r="CT187" s="6"/>
      <c r="CU187" s="6"/>
      <c r="CV187" s="6"/>
      <c r="CW187" s="6"/>
      <c r="CX187" s="6"/>
      <c r="CY187" s="6"/>
      <c r="CZ187" s="6"/>
      <c r="DA187" s="343">
        <f t="shared" si="6"/>
        <v>7.3</v>
      </c>
    </row>
    <row r="188" spans="1:105" ht="20" customHeight="1" x14ac:dyDescent="0.35">
      <c r="A188" s="290" t="s">
        <v>2079</v>
      </c>
      <c r="B188" s="270" t="s">
        <v>805</v>
      </c>
      <c r="C188" s="270" t="s">
        <v>1607</v>
      </c>
      <c r="D188" s="297" t="s">
        <v>312</v>
      </c>
      <c r="E188" s="270" t="s">
        <v>54</v>
      </c>
      <c r="F188" s="273" t="s">
        <v>2008</v>
      </c>
      <c r="G188" s="270" t="s">
        <v>39</v>
      </c>
      <c r="H188" s="298">
        <v>7.3</v>
      </c>
      <c r="I188" s="292">
        <v>10</v>
      </c>
      <c r="J188" s="292">
        <v>9.5</v>
      </c>
      <c r="K188" s="286"/>
      <c r="L188" s="286"/>
      <c r="M188" s="286"/>
      <c r="N188" s="286"/>
      <c r="O188" s="286">
        <v>9.5</v>
      </c>
      <c r="P188" s="286"/>
      <c r="Q188" s="286"/>
      <c r="R188" s="286"/>
      <c r="S188" s="286"/>
      <c r="T188" s="286">
        <v>9.5</v>
      </c>
      <c r="U188" s="286"/>
      <c r="V188" s="313"/>
      <c r="W188" s="286"/>
      <c r="X188" s="286"/>
      <c r="Y188" s="286"/>
      <c r="Z188" s="286"/>
      <c r="AA188" s="286"/>
      <c r="AB188" s="286"/>
      <c r="AC188" s="286"/>
      <c r="AD188" s="286"/>
      <c r="AE188" s="286"/>
      <c r="AF188" s="286"/>
      <c r="AG188" s="286"/>
      <c r="AH188" s="286"/>
      <c r="AI188" s="286">
        <v>9.5</v>
      </c>
      <c r="AJ188" s="286"/>
      <c r="AK188" s="295">
        <v>12</v>
      </c>
      <c r="AL188" s="286">
        <v>9.5</v>
      </c>
      <c r="AM188" s="287"/>
      <c r="AN188" s="287"/>
      <c r="AO188" s="286">
        <v>9.5</v>
      </c>
      <c r="AP188" s="286">
        <v>9.5</v>
      </c>
      <c r="AQ188" s="296"/>
      <c r="AR188" s="286">
        <v>9.5</v>
      </c>
      <c r="AS188" s="286"/>
      <c r="AT188" s="286">
        <v>9.5</v>
      </c>
      <c r="AU188" s="286">
        <v>9.5</v>
      </c>
      <c r="AV188" s="286">
        <v>9.5</v>
      </c>
      <c r="AW188" s="286">
        <v>9.5</v>
      </c>
      <c r="AX188" s="286">
        <v>9.5</v>
      </c>
      <c r="AY188" s="286">
        <v>9.5</v>
      </c>
      <c r="AZ188" s="286">
        <v>9.5</v>
      </c>
      <c r="BA188" s="286">
        <v>9.5</v>
      </c>
      <c r="BB188" s="286">
        <v>9.5</v>
      </c>
      <c r="BC188" s="286">
        <v>9.5</v>
      </c>
      <c r="BD188" s="287"/>
      <c r="BE188" s="287"/>
      <c r="BF188" s="287"/>
      <c r="BG188" s="287"/>
      <c r="BH188" s="287"/>
      <c r="BI188" s="287"/>
      <c r="BJ188" s="287"/>
      <c r="BK188" s="287"/>
      <c r="BL188" s="287"/>
      <c r="BM188" s="287"/>
      <c r="BN188" s="287"/>
      <c r="BO188" s="287"/>
      <c r="BP188" s="287"/>
      <c r="BQ188" s="287"/>
      <c r="BR188" s="287"/>
      <c r="BS188" s="287"/>
      <c r="BT188" s="287"/>
      <c r="BU188" s="287"/>
      <c r="BV188" s="287"/>
      <c r="BW188" s="287"/>
      <c r="BX188" s="286">
        <f>J188</f>
        <v>9.5</v>
      </c>
      <c r="BY188" s="289"/>
      <c r="BZ188" s="289"/>
      <c r="CA188" s="289"/>
      <c r="CB188" s="289"/>
      <c r="CC188" s="289"/>
      <c r="CD188" s="289"/>
      <c r="CE188" s="289"/>
      <c r="CF188" s="289"/>
      <c r="CG188" s="287"/>
      <c r="CH188" s="287"/>
      <c r="CI188" s="287"/>
      <c r="CJ188" s="287"/>
      <c r="CK188" s="287"/>
      <c r="CL188" s="287"/>
      <c r="CM188" s="286">
        <v>9.5</v>
      </c>
      <c r="CN188" s="292">
        <v>9.5</v>
      </c>
      <c r="CO188" s="292">
        <v>9.5</v>
      </c>
      <c r="CP188" s="287"/>
      <c r="CQ188" s="287">
        <v>10.5</v>
      </c>
      <c r="CR188" s="287"/>
      <c r="CS188" s="288">
        <f>I188</f>
        <v>10</v>
      </c>
      <c r="CT188" s="6"/>
      <c r="CU188" s="6"/>
      <c r="CV188" s="6"/>
      <c r="CW188" s="6"/>
      <c r="CX188" s="6"/>
      <c r="CY188" s="6"/>
      <c r="CZ188" s="6"/>
      <c r="DA188" s="343">
        <f>H188</f>
        <v>7.3</v>
      </c>
    </row>
    <row r="189" spans="1:105" ht="20" customHeight="1" x14ac:dyDescent="0.35">
      <c r="A189" s="290"/>
      <c r="B189" s="270" t="s">
        <v>806</v>
      </c>
      <c r="C189" s="270" t="s">
        <v>1607</v>
      </c>
      <c r="D189" s="270"/>
      <c r="E189" s="270" t="s">
        <v>54</v>
      </c>
      <c r="F189" s="270" t="s">
        <v>622</v>
      </c>
      <c r="G189" s="270" t="s">
        <v>39</v>
      </c>
      <c r="H189" s="298"/>
      <c r="I189" s="286"/>
      <c r="J189" s="286"/>
      <c r="K189" s="286"/>
      <c r="L189" s="286"/>
      <c r="M189" s="286"/>
      <c r="N189" s="286"/>
      <c r="O189" s="286"/>
      <c r="P189" s="286"/>
      <c r="Q189" s="286"/>
      <c r="R189" s="286"/>
      <c r="S189" s="286"/>
      <c r="T189" s="286"/>
      <c r="U189" s="286"/>
      <c r="V189" s="313"/>
      <c r="W189" s="286"/>
      <c r="X189" s="286"/>
      <c r="Y189" s="286"/>
      <c r="Z189" s="286"/>
      <c r="AA189" s="286"/>
      <c r="AB189" s="286"/>
      <c r="AC189" s="286"/>
      <c r="AD189" s="286"/>
      <c r="AE189" s="286"/>
      <c r="AF189" s="286"/>
      <c r="AG189" s="286"/>
      <c r="AH189" s="286"/>
      <c r="AI189" s="286"/>
      <c r="AJ189" s="286"/>
      <c r="AK189" s="287"/>
      <c r="AL189" s="288"/>
      <c r="AM189" s="287"/>
      <c r="AN189" s="287"/>
      <c r="AO189" s="286"/>
      <c r="AP189" s="286"/>
      <c r="AQ189" s="296"/>
      <c r="AR189" s="286"/>
      <c r="AS189" s="286"/>
      <c r="AT189" s="28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7"/>
      <c r="BE189" s="287"/>
      <c r="BF189" s="287"/>
      <c r="BG189" s="287"/>
      <c r="BH189" s="287"/>
      <c r="BI189" s="287"/>
      <c r="BJ189" s="287"/>
      <c r="BK189" s="287"/>
      <c r="BL189" s="287"/>
      <c r="BM189" s="287"/>
      <c r="BN189" s="287"/>
      <c r="BO189" s="287"/>
      <c r="BP189" s="287"/>
      <c r="BQ189" s="287"/>
      <c r="BR189" s="287"/>
      <c r="BS189" s="287"/>
      <c r="BT189" s="287"/>
      <c r="BU189" s="287"/>
      <c r="BV189" s="287"/>
      <c r="BW189" s="287"/>
      <c r="BX189" s="286"/>
      <c r="BY189" s="289"/>
      <c r="BZ189" s="289"/>
      <c r="CA189" s="289"/>
      <c r="CB189" s="289"/>
      <c r="CC189" s="289"/>
      <c r="CD189" s="289"/>
      <c r="CE189" s="289"/>
      <c r="CF189" s="289"/>
      <c r="CG189" s="287"/>
      <c r="CH189" s="287"/>
      <c r="CI189" s="287"/>
      <c r="CJ189" s="287"/>
      <c r="CK189" s="287"/>
      <c r="CL189" s="287"/>
      <c r="CM189" s="287"/>
      <c r="CN189" s="287"/>
      <c r="CO189" s="287"/>
      <c r="CP189" s="287"/>
      <c r="CQ189" s="287"/>
      <c r="CR189" s="287"/>
      <c r="CS189" s="6"/>
      <c r="CT189" s="6"/>
      <c r="CU189" s="6"/>
      <c r="CV189" s="6"/>
      <c r="CW189" s="6"/>
      <c r="CX189" s="6"/>
      <c r="CY189" s="6"/>
      <c r="CZ189" s="6"/>
      <c r="DA189" s="343">
        <f t="shared" si="6"/>
        <v>0</v>
      </c>
    </row>
    <row r="190" spans="1:105" ht="20" customHeight="1" x14ac:dyDescent="0.35">
      <c r="A190" s="290">
        <v>520705</v>
      </c>
      <c r="B190" s="270" t="s">
        <v>807</v>
      </c>
      <c r="C190" s="270" t="s">
        <v>639</v>
      </c>
      <c r="D190" s="297" t="s">
        <v>513</v>
      </c>
      <c r="E190" s="270" t="s">
        <v>573</v>
      </c>
      <c r="F190" s="270" t="s">
        <v>2166</v>
      </c>
      <c r="G190" s="270" t="s">
        <v>38</v>
      </c>
      <c r="H190" s="298">
        <v>4</v>
      </c>
      <c r="I190" s="300">
        <v>6</v>
      </c>
      <c r="J190" s="292">
        <v>6</v>
      </c>
      <c r="K190" s="286"/>
      <c r="L190" s="286">
        <v>6</v>
      </c>
      <c r="M190" s="286"/>
      <c r="N190" s="292">
        <v>6</v>
      </c>
      <c r="O190" s="286">
        <v>6</v>
      </c>
      <c r="P190" s="292">
        <v>6.5</v>
      </c>
      <c r="Q190" s="286">
        <v>6</v>
      </c>
      <c r="R190" s="286">
        <v>6</v>
      </c>
      <c r="S190" s="286">
        <v>6.5</v>
      </c>
      <c r="T190" s="286">
        <v>6</v>
      </c>
      <c r="U190" s="286">
        <v>6</v>
      </c>
      <c r="V190" s="294"/>
      <c r="W190" s="286"/>
      <c r="X190" s="286"/>
      <c r="Y190" s="286"/>
      <c r="Z190" s="286"/>
      <c r="AA190" s="286"/>
      <c r="AB190" s="286">
        <v>6</v>
      </c>
      <c r="AC190" s="286">
        <v>6</v>
      </c>
      <c r="AD190" s="286"/>
      <c r="AE190" s="286">
        <v>6</v>
      </c>
      <c r="AF190" s="286"/>
      <c r="AG190" s="286"/>
      <c r="AH190" s="286"/>
      <c r="AI190" s="286">
        <v>6</v>
      </c>
      <c r="AJ190" s="286">
        <v>6</v>
      </c>
      <c r="AK190" s="295">
        <v>6</v>
      </c>
      <c r="AL190" s="288"/>
      <c r="AM190" s="287">
        <v>6</v>
      </c>
      <c r="AN190" s="287"/>
      <c r="AO190" s="287"/>
      <c r="AP190" s="286">
        <v>6</v>
      </c>
      <c r="AQ190" s="296">
        <v>6</v>
      </c>
      <c r="AR190" s="286">
        <v>6</v>
      </c>
      <c r="AS190" s="286"/>
      <c r="AT190" s="286">
        <v>6</v>
      </c>
      <c r="AU190" s="286">
        <v>6</v>
      </c>
      <c r="AV190" s="286">
        <v>6</v>
      </c>
      <c r="AW190" s="286">
        <v>6</v>
      </c>
      <c r="AX190" s="286">
        <v>6</v>
      </c>
      <c r="AY190" s="286">
        <v>6</v>
      </c>
      <c r="AZ190" s="286">
        <v>6</v>
      </c>
      <c r="BA190" s="286">
        <v>6</v>
      </c>
      <c r="BB190" s="286">
        <v>6</v>
      </c>
      <c r="BC190" s="286">
        <v>6</v>
      </c>
      <c r="BD190" s="287"/>
      <c r="BE190" s="286">
        <v>6</v>
      </c>
      <c r="BF190" s="287"/>
      <c r="BG190" s="288">
        <v>7</v>
      </c>
      <c r="BH190" s="287"/>
      <c r="BI190" s="287"/>
      <c r="BJ190" s="287">
        <v>6</v>
      </c>
      <c r="BK190" s="299">
        <v>7</v>
      </c>
      <c r="BL190" s="287">
        <v>7</v>
      </c>
      <c r="BM190" s="287"/>
      <c r="BN190" s="287"/>
      <c r="BO190" s="287"/>
      <c r="BP190" s="287"/>
      <c r="BQ190" s="287"/>
      <c r="BR190" s="287">
        <v>6.5</v>
      </c>
      <c r="BS190" s="287"/>
      <c r="BT190" s="287"/>
      <c r="BU190" s="287">
        <v>6.5</v>
      </c>
      <c r="BV190" s="287"/>
      <c r="BW190" s="287"/>
      <c r="BX190" s="286">
        <f>J190</f>
        <v>6</v>
      </c>
      <c r="BY190" s="289">
        <v>6</v>
      </c>
      <c r="BZ190" s="289"/>
      <c r="CA190" s="289"/>
      <c r="CB190" s="289"/>
      <c r="CC190" s="289"/>
      <c r="CD190" s="289"/>
      <c r="CE190" s="289"/>
      <c r="CF190" s="289"/>
      <c r="CG190" s="287"/>
      <c r="CH190" s="287"/>
      <c r="CI190" s="287"/>
      <c r="CJ190" s="287"/>
      <c r="CK190" s="287"/>
      <c r="CL190" s="287">
        <v>6.5</v>
      </c>
      <c r="CM190" s="292">
        <v>6</v>
      </c>
      <c r="CN190" s="292">
        <v>6</v>
      </c>
      <c r="CO190" s="292">
        <v>6</v>
      </c>
      <c r="CP190" s="287"/>
      <c r="CQ190" s="287">
        <v>6</v>
      </c>
      <c r="CR190" s="287">
        <v>6</v>
      </c>
      <c r="CS190" s="288">
        <f>I190</f>
        <v>6</v>
      </c>
      <c r="CT190" s="6"/>
      <c r="CU190" s="6"/>
      <c r="CV190" s="6"/>
      <c r="CW190" s="6"/>
      <c r="CX190" s="6"/>
      <c r="CY190" s="6"/>
      <c r="CZ190" s="6"/>
      <c r="DA190" s="343">
        <f t="shared" si="6"/>
        <v>4</v>
      </c>
    </row>
    <row r="191" spans="1:105" ht="20" customHeight="1" x14ac:dyDescent="0.35">
      <c r="A191" s="290">
        <v>1300008</v>
      </c>
      <c r="B191" s="270" t="s">
        <v>807</v>
      </c>
      <c r="C191" s="270" t="s">
        <v>639</v>
      </c>
      <c r="D191" s="297" t="s">
        <v>513</v>
      </c>
      <c r="E191" s="270" t="s">
        <v>573</v>
      </c>
      <c r="F191" s="270" t="s">
        <v>2166</v>
      </c>
      <c r="G191" s="270" t="s">
        <v>38</v>
      </c>
      <c r="H191" s="298">
        <v>4</v>
      </c>
      <c r="I191" s="300">
        <v>6</v>
      </c>
      <c r="J191" s="292">
        <v>6</v>
      </c>
      <c r="K191" s="286"/>
      <c r="L191" s="286">
        <v>6</v>
      </c>
      <c r="M191" s="286"/>
      <c r="N191" s="292">
        <v>6</v>
      </c>
      <c r="O191" s="286">
        <v>6</v>
      </c>
      <c r="P191" s="292">
        <v>6.5</v>
      </c>
      <c r="Q191" s="286">
        <v>6</v>
      </c>
      <c r="R191" s="286">
        <v>6</v>
      </c>
      <c r="S191" s="286">
        <v>6.5</v>
      </c>
      <c r="T191" s="286">
        <v>6</v>
      </c>
      <c r="U191" s="286">
        <v>6</v>
      </c>
      <c r="V191" s="294"/>
      <c r="W191" s="286"/>
      <c r="X191" s="286"/>
      <c r="Y191" s="286"/>
      <c r="Z191" s="286"/>
      <c r="AA191" s="286"/>
      <c r="AB191" s="286">
        <v>6</v>
      </c>
      <c r="AC191" s="286">
        <v>6</v>
      </c>
      <c r="AD191" s="286"/>
      <c r="AE191" s="286">
        <v>6</v>
      </c>
      <c r="AF191" s="286"/>
      <c r="AG191" s="286"/>
      <c r="AH191" s="286"/>
      <c r="AI191" s="286">
        <v>6</v>
      </c>
      <c r="AJ191" s="286">
        <v>6</v>
      </c>
      <c r="AK191" s="295">
        <v>6</v>
      </c>
      <c r="AL191" s="288"/>
      <c r="AM191" s="287">
        <v>6</v>
      </c>
      <c r="AN191" s="287"/>
      <c r="AO191" s="287"/>
      <c r="AP191" s="286">
        <v>6</v>
      </c>
      <c r="AQ191" s="296">
        <v>6</v>
      </c>
      <c r="AR191" s="286">
        <v>6</v>
      </c>
      <c r="AS191" s="286"/>
      <c r="AT191" s="286">
        <v>6</v>
      </c>
      <c r="AU191" s="286">
        <v>6</v>
      </c>
      <c r="AV191" s="286">
        <v>6</v>
      </c>
      <c r="AW191" s="286">
        <v>6</v>
      </c>
      <c r="AX191" s="286">
        <v>6</v>
      </c>
      <c r="AY191" s="286">
        <v>6</v>
      </c>
      <c r="AZ191" s="286">
        <v>6</v>
      </c>
      <c r="BA191" s="286">
        <v>6</v>
      </c>
      <c r="BB191" s="286">
        <v>6</v>
      </c>
      <c r="BC191" s="286">
        <v>6</v>
      </c>
      <c r="BD191" s="287"/>
      <c r="BE191" s="286">
        <v>6</v>
      </c>
      <c r="BF191" s="287"/>
      <c r="BG191" s="288">
        <v>7</v>
      </c>
      <c r="BH191" s="287"/>
      <c r="BI191" s="287"/>
      <c r="BJ191" s="287">
        <v>6</v>
      </c>
      <c r="BK191" s="299">
        <v>7</v>
      </c>
      <c r="BL191" s="287">
        <v>7</v>
      </c>
      <c r="BM191" s="287"/>
      <c r="BN191" s="287"/>
      <c r="BO191" s="287"/>
      <c r="BP191" s="287"/>
      <c r="BQ191" s="287"/>
      <c r="BR191" s="287">
        <v>6.5</v>
      </c>
      <c r="BS191" s="287"/>
      <c r="BT191" s="287"/>
      <c r="BU191" s="287">
        <v>6.5</v>
      </c>
      <c r="BV191" s="287"/>
      <c r="BW191" s="287"/>
      <c r="BX191" s="286">
        <f>J191</f>
        <v>6</v>
      </c>
      <c r="BY191" s="289">
        <v>6</v>
      </c>
      <c r="BZ191" s="289"/>
      <c r="CA191" s="289"/>
      <c r="CB191" s="289"/>
      <c r="CC191" s="289"/>
      <c r="CD191" s="289"/>
      <c r="CE191" s="289"/>
      <c r="CF191" s="289"/>
      <c r="CG191" s="287"/>
      <c r="CH191" s="287"/>
      <c r="CI191" s="287"/>
      <c r="CJ191" s="287"/>
      <c r="CK191" s="287"/>
      <c r="CL191" s="287">
        <v>6.5</v>
      </c>
      <c r="CM191" s="292">
        <v>6</v>
      </c>
      <c r="CN191" s="292">
        <v>6</v>
      </c>
      <c r="CO191" s="292">
        <v>6</v>
      </c>
      <c r="CP191" s="287"/>
      <c r="CQ191" s="287">
        <v>6</v>
      </c>
      <c r="CR191" s="287">
        <v>6</v>
      </c>
      <c r="CS191" s="288">
        <f>I191</f>
        <v>6</v>
      </c>
      <c r="CT191" s="6"/>
      <c r="CU191" s="6"/>
      <c r="CV191" s="6"/>
      <c r="CW191" s="6"/>
      <c r="CX191" s="6"/>
      <c r="CY191" s="6"/>
      <c r="CZ191" s="6"/>
      <c r="DA191" s="343">
        <f t="shared" ref="DA191" si="8">H191</f>
        <v>4</v>
      </c>
    </row>
    <row r="192" spans="1:105" ht="20" customHeight="1" x14ac:dyDescent="0.35">
      <c r="A192" s="290"/>
      <c r="B192" s="270" t="s">
        <v>2115</v>
      </c>
      <c r="C192" s="270" t="s">
        <v>639</v>
      </c>
      <c r="D192" s="297" t="s">
        <v>513</v>
      </c>
      <c r="E192" s="270" t="s">
        <v>573</v>
      </c>
      <c r="F192" s="270" t="s">
        <v>1570</v>
      </c>
      <c r="G192" s="270" t="s">
        <v>38</v>
      </c>
      <c r="H192" s="298">
        <v>1</v>
      </c>
      <c r="I192" s="296">
        <v>1.35</v>
      </c>
      <c r="J192" s="292"/>
      <c r="K192" s="286"/>
      <c r="L192" s="286">
        <v>1.5</v>
      </c>
      <c r="M192" s="286"/>
      <c r="N192" s="292"/>
      <c r="O192" s="286"/>
      <c r="P192" s="292"/>
      <c r="Q192" s="286"/>
      <c r="R192" s="286"/>
      <c r="S192" s="286">
        <v>1.5</v>
      </c>
      <c r="T192" s="286"/>
      <c r="U192" s="286"/>
      <c r="V192" s="294"/>
      <c r="W192" s="286"/>
      <c r="X192" s="286"/>
      <c r="Y192" s="286"/>
      <c r="Z192" s="286"/>
      <c r="AA192" s="286"/>
      <c r="AB192" s="286">
        <v>1.3</v>
      </c>
      <c r="AC192" s="286"/>
      <c r="AD192" s="286"/>
      <c r="AE192" s="286">
        <v>1.2</v>
      </c>
      <c r="AF192" s="286"/>
      <c r="AG192" s="286"/>
      <c r="AH192" s="286"/>
      <c r="AI192" s="286"/>
      <c r="AJ192" s="286">
        <v>1.3</v>
      </c>
      <c r="AK192" s="295"/>
      <c r="AL192" s="288"/>
      <c r="AM192" s="287">
        <v>1.2</v>
      </c>
      <c r="AN192" s="287"/>
      <c r="AO192" s="287"/>
      <c r="AP192" s="286"/>
      <c r="AQ192" s="296">
        <v>1.3</v>
      </c>
      <c r="AR192" s="286"/>
      <c r="AS192" s="286"/>
      <c r="AT192" s="28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7"/>
      <c r="BE192" s="286"/>
      <c r="BF192" s="287"/>
      <c r="BG192" s="288"/>
      <c r="BH192" s="287"/>
      <c r="BI192" s="287"/>
      <c r="BJ192" s="287"/>
      <c r="BK192" s="299"/>
      <c r="BL192" s="287"/>
      <c r="BM192" s="287"/>
      <c r="BN192" s="287"/>
      <c r="BO192" s="287"/>
      <c r="BP192" s="287"/>
      <c r="BQ192" s="287"/>
      <c r="BR192" s="287"/>
      <c r="BS192" s="287"/>
      <c r="BT192" s="287"/>
      <c r="BU192" s="287">
        <v>1.3</v>
      </c>
      <c r="BV192" s="287"/>
      <c r="BW192" s="287"/>
      <c r="BX192" s="286"/>
      <c r="BY192" s="289">
        <v>1.4</v>
      </c>
      <c r="BZ192" s="289"/>
      <c r="CA192" s="289"/>
      <c r="CB192" s="289"/>
      <c r="CC192" s="289"/>
      <c r="CD192" s="289"/>
      <c r="CE192" s="289"/>
      <c r="CF192" s="289"/>
      <c r="CG192" s="287"/>
      <c r="CH192" s="287"/>
      <c r="CI192" s="287"/>
      <c r="CJ192" s="287"/>
      <c r="CK192" s="287"/>
      <c r="CL192" s="287">
        <v>1.4</v>
      </c>
      <c r="CM192" s="292"/>
      <c r="CN192" s="292"/>
      <c r="CO192" s="292"/>
      <c r="CP192" s="287"/>
      <c r="CQ192" s="287"/>
      <c r="CR192" s="287">
        <v>1.3</v>
      </c>
      <c r="CS192" s="288">
        <f>I192</f>
        <v>1.35</v>
      </c>
      <c r="CT192" s="6"/>
      <c r="CU192" s="6"/>
      <c r="CV192" s="6"/>
      <c r="CW192" s="6"/>
      <c r="CX192" s="6"/>
      <c r="CY192" s="6"/>
      <c r="CZ192" s="6"/>
      <c r="DA192" s="343">
        <f>H192</f>
        <v>1</v>
      </c>
    </row>
    <row r="193" spans="1:105" ht="20" customHeight="1" x14ac:dyDescent="0.35">
      <c r="A193" s="290" t="s">
        <v>383</v>
      </c>
      <c r="B193" s="270" t="s">
        <v>808</v>
      </c>
      <c r="C193" s="270" t="s">
        <v>225</v>
      </c>
      <c r="D193" s="297" t="s">
        <v>46</v>
      </c>
      <c r="E193" s="270" t="s">
        <v>48</v>
      </c>
      <c r="F193" s="270" t="s">
        <v>599</v>
      </c>
      <c r="G193" s="270" t="s">
        <v>39</v>
      </c>
      <c r="H193" s="298">
        <f>175/25/2</f>
        <v>3.5</v>
      </c>
      <c r="I193" s="292">
        <v>6</v>
      </c>
      <c r="J193" s="292">
        <v>6</v>
      </c>
      <c r="K193" s="286"/>
      <c r="L193" s="286"/>
      <c r="M193" s="286"/>
      <c r="N193" s="286"/>
      <c r="O193" s="286">
        <v>6</v>
      </c>
      <c r="P193" s="292">
        <v>6</v>
      </c>
      <c r="Q193" s="286">
        <v>6</v>
      </c>
      <c r="R193" s="286">
        <v>6</v>
      </c>
      <c r="S193" s="286"/>
      <c r="T193" s="286">
        <v>6</v>
      </c>
      <c r="U193" s="286"/>
      <c r="V193" s="294"/>
      <c r="W193" s="286"/>
      <c r="X193" s="286"/>
      <c r="Y193" s="286">
        <v>8.5</v>
      </c>
      <c r="Z193" s="286"/>
      <c r="AA193" s="286"/>
      <c r="AB193" s="286"/>
      <c r="AC193" s="286">
        <v>6</v>
      </c>
      <c r="AD193" s="286"/>
      <c r="AE193" s="286"/>
      <c r="AF193" s="286"/>
      <c r="AG193" s="286"/>
      <c r="AH193" s="286"/>
      <c r="AI193" s="286"/>
      <c r="AJ193" s="286"/>
      <c r="AK193" s="295">
        <v>6.5</v>
      </c>
      <c r="AL193" s="288"/>
      <c r="AM193" s="287"/>
      <c r="AN193" s="287"/>
      <c r="AO193" s="287"/>
      <c r="AP193" s="286">
        <v>6</v>
      </c>
      <c r="AQ193" s="296"/>
      <c r="AR193" s="286">
        <v>6</v>
      </c>
      <c r="AS193" s="286"/>
      <c r="AT193" s="286">
        <v>6</v>
      </c>
      <c r="AU193" s="286">
        <v>6</v>
      </c>
      <c r="AV193" s="286">
        <v>6</v>
      </c>
      <c r="AW193" s="286">
        <v>6</v>
      </c>
      <c r="AX193" s="286">
        <v>6</v>
      </c>
      <c r="AY193" s="286">
        <v>6</v>
      </c>
      <c r="AZ193" s="286">
        <v>6</v>
      </c>
      <c r="BA193" s="286">
        <v>6</v>
      </c>
      <c r="BB193" s="286">
        <f>BA193</f>
        <v>6</v>
      </c>
      <c r="BC193" s="286">
        <v>6</v>
      </c>
      <c r="BD193" s="287"/>
      <c r="BE193" s="287"/>
      <c r="BF193" s="287"/>
      <c r="BG193" s="287"/>
      <c r="BH193" s="286">
        <v>6</v>
      </c>
      <c r="BI193" s="287"/>
      <c r="BJ193" s="287"/>
      <c r="BK193" s="299">
        <v>7</v>
      </c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6"/>
      <c r="BY193" s="289"/>
      <c r="BZ193" s="289">
        <v>7</v>
      </c>
      <c r="CA193" s="289"/>
      <c r="CB193" s="289"/>
      <c r="CC193" s="289"/>
      <c r="CD193" s="289"/>
      <c r="CE193" s="289"/>
      <c r="CF193" s="289"/>
      <c r="CG193" s="287"/>
      <c r="CH193" s="287"/>
      <c r="CI193" s="287"/>
      <c r="CJ193" s="287"/>
      <c r="CK193" s="287"/>
      <c r="CL193" s="287"/>
      <c r="CM193" s="287"/>
      <c r="CN193" s="292">
        <v>6</v>
      </c>
      <c r="CO193" s="292">
        <v>6</v>
      </c>
      <c r="CP193" s="287"/>
      <c r="CQ193" s="287">
        <v>7.5</v>
      </c>
      <c r="CR193" s="287">
        <v>7</v>
      </c>
      <c r="CS193" s="288">
        <f>I193</f>
        <v>6</v>
      </c>
      <c r="CT193" s="6"/>
      <c r="CU193" s="6"/>
      <c r="CV193" s="6"/>
      <c r="CW193" s="6"/>
      <c r="CX193" s="6"/>
      <c r="CY193" s="6"/>
      <c r="CZ193" s="6"/>
      <c r="DA193" s="343">
        <f t="shared" si="6"/>
        <v>3.5</v>
      </c>
    </row>
    <row r="194" spans="1:105" ht="20" customHeight="1" x14ac:dyDescent="0.35">
      <c r="A194" s="290" t="s">
        <v>2092</v>
      </c>
      <c r="B194" s="270" t="s">
        <v>808</v>
      </c>
      <c r="C194" s="270" t="s">
        <v>225</v>
      </c>
      <c r="D194" s="297" t="s">
        <v>46</v>
      </c>
      <c r="E194" s="270" t="s">
        <v>48</v>
      </c>
      <c r="F194" s="270" t="s">
        <v>599</v>
      </c>
      <c r="G194" s="270" t="s">
        <v>39</v>
      </c>
      <c r="H194" s="298">
        <f>175/25/2</f>
        <v>3.5</v>
      </c>
      <c r="I194" s="292"/>
      <c r="J194" s="292"/>
      <c r="K194" s="286"/>
      <c r="L194" s="286"/>
      <c r="M194" s="286"/>
      <c r="N194" s="286"/>
      <c r="O194" s="286"/>
      <c r="P194" s="292"/>
      <c r="Q194" s="286"/>
      <c r="R194" s="286"/>
      <c r="S194" s="286"/>
      <c r="T194" s="286"/>
      <c r="U194" s="286"/>
      <c r="V194" s="294"/>
      <c r="W194" s="286"/>
      <c r="X194" s="286"/>
      <c r="Y194" s="286"/>
      <c r="Z194" s="286"/>
      <c r="AA194" s="286"/>
      <c r="AB194" s="286"/>
      <c r="AC194" s="286"/>
      <c r="AD194" s="286"/>
      <c r="AE194" s="286"/>
      <c r="AF194" s="286"/>
      <c r="AG194" s="286"/>
      <c r="AH194" s="286"/>
      <c r="AI194" s="286"/>
      <c r="AJ194" s="286"/>
      <c r="AK194" s="295"/>
      <c r="AL194" s="288"/>
      <c r="AM194" s="287"/>
      <c r="AN194" s="287"/>
      <c r="AO194" s="287"/>
      <c r="AP194" s="286"/>
      <c r="AQ194" s="296"/>
      <c r="AR194" s="286"/>
      <c r="AS194" s="286"/>
      <c r="AT194" s="28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7"/>
      <c r="BE194" s="287"/>
      <c r="BF194" s="287"/>
      <c r="BG194" s="287"/>
      <c r="BH194" s="286"/>
      <c r="BI194" s="287"/>
      <c r="BJ194" s="287"/>
      <c r="BK194" s="299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6"/>
      <c r="BY194" s="289"/>
      <c r="BZ194" s="289"/>
      <c r="CA194" s="289"/>
      <c r="CB194" s="289"/>
      <c r="CC194" s="289"/>
      <c r="CD194" s="289"/>
      <c r="CE194" s="289"/>
      <c r="CF194" s="289"/>
      <c r="CG194" s="287"/>
      <c r="CH194" s="287"/>
      <c r="CI194" s="287"/>
      <c r="CJ194" s="287"/>
      <c r="CK194" s="287"/>
      <c r="CL194" s="287"/>
      <c r="CM194" s="287"/>
      <c r="CN194" s="287"/>
      <c r="CO194" s="292"/>
      <c r="CP194" s="287"/>
      <c r="CQ194" s="287">
        <v>7.5</v>
      </c>
      <c r="CR194" s="287"/>
      <c r="CS194" s="288">
        <f>I194</f>
        <v>0</v>
      </c>
      <c r="CT194" s="6"/>
      <c r="CU194" s="6"/>
      <c r="CV194" s="6"/>
      <c r="CW194" s="6"/>
      <c r="CX194" s="6"/>
      <c r="CY194" s="6"/>
      <c r="CZ194" s="6"/>
      <c r="DA194" s="343">
        <f>H194</f>
        <v>3.5</v>
      </c>
    </row>
    <row r="195" spans="1:105" ht="20" customHeight="1" x14ac:dyDescent="0.35">
      <c r="A195" s="290">
        <v>4000002756</v>
      </c>
      <c r="B195" s="270" t="s">
        <v>1262</v>
      </c>
      <c r="C195" s="270" t="s">
        <v>225</v>
      </c>
      <c r="D195" s="297" t="s">
        <v>46</v>
      </c>
      <c r="E195" s="270" t="s">
        <v>48</v>
      </c>
      <c r="F195" s="270" t="s">
        <v>62</v>
      </c>
      <c r="G195" s="270" t="s">
        <v>39</v>
      </c>
      <c r="H195" s="298">
        <f>H193*2</f>
        <v>7</v>
      </c>
      <c r="I195" s="292"/>
      <c r="J195" s="286"/>
      <c r="K195" s="286">
        <v>13</v>
      </c>
      <c r="L195" s="286"/>
      <c r="M195" s="286"/>
      <c r="N195" s="286"/>
      <c r="O195" s="286"/>
      <c r="P195" s="292"/>
      <c r="Q195" s="286"/>
      <c r="R195" s="286"/>
      <c r="S195" s="286"/>
      <c r="T195" s="286"/>
      <c r="U195" s="286"/>
      <c r="V195" s="294"/>
      <c r="W195" s="286"/>
      <c r="X195" s="286"/>
      <c r="Y195" s="286"/>
      <c r="Z195" s="286"/>
      <c r="AA195" s="286"/>
      <c r="AB195" s="286"/>
      <c r="AC195" s="286"/>
      <c r="AD195" s="286"/>
      <c r="AE195" s="286"/>
      <c r="AF195" s="286"/>
      <c r="AG195" s="286"/>
      <c r="AH195" s="286"/>
      <c r="AI195" s="286"/>
      <c r="AJ195" s="286"/>
      <c r="AK195" s="287"/>
      <c r="AL195" s="288"/>
      <c r="AM195" s="287"/>
      <c r="AN195" s="287"/>
      <c r="AO195" s="287"/>
      <c r="AP195" s="286"/>
      <c r="AQ195" s="296"/>
      <c r="AR195" s="286"/>
      <c r="AS195" s="286"/>
      <c r="AT195" s="28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7"/>
      <c r="BE195" s="287"/>
      <c r="BF195" s="287"/>
      <c r="BG195" s="288">
        <v>12</v>
      </c>
      <c r="BH195" s="287"/>
      <c r="BI195" s="287"/>
      <c r="BJ195" s="287"/>
      <c r="BK195" s="287"/>
      <c r="BL195" s="287"/>
      <c r="BM195" s="287"/>
      <c r="BN195" s="287"/>
      <c r="BO195" s="287"/>
      <c r="BP195" s="287"/>
      <c r="BQ195" s="287"/>
      <c r="BR195" s="287"/>
      <c r="BS195" s="287"/>
      <c r="BT195" s="287"/>
      <c r="BU195" s="287"/>
      <c r="BV195" s="287"/>
      <c r="BW195" s="287"/>
      <c r="BX195" s="286"/>
      <c r="BY195" s="289"/>
      <c r="BZ195" s="289"/>
      <c r="CA195" s="289"/>
      <c r="CB195" s="289"/>
      <c r="CC195" s="289"/>
      <c r="CD195" s="289"/>
      <c r="CE195" s="289"/>
      <c r="CF195" s="289"/>
      <c r="CG195" s="287"/>
      <c r="CH195" s="287"/>
      <c r="CI195" s="287"/>
      <c r="CJ195" s="287"/>
      <c r="CK195" s="287"/>
      <c r="CL195" s="287"/>
      <c r="CM195" s="287"/>
      <c r="CN195" s="287"/>
      <c r="CO195" s="287"/>
      <c r="CP195" s="287"/>
      <c r="CQ195" s="287"/>
      <c r="CR195" s="287"/>
      <c r="CS195" s="6"/>
      <c r="CT195" s="6"/>
      <c r="CU195" s="6"/>
      <c r="CV195" s="6"/>
      <c r="CW195" s="6"/>
      <c r="CX195" s="6"/>
      <c r="CY195" s="6"/>
      <c r="CZ195" s="6"/>
      <c r="DA195" s="343">
        <f t="shared" si="6"/>
        <v>7</v>
      </c>
    </row>
    <row r="196" spans="1:105" ht="20" customHeight="1" x14ac:dyDescent="0.35">
      <c r="A196" s="314"/>
      <c r="B196" s="270" t="s">
        <v>809</v>
      </c>
      <c r="C196" s="270" t="s">
        <v>1608</v>
      </c>
      <c r="D196" s="297" t="s">
        <v>630</v>
      </c>
      <c r="E196" s="270" t="s">
        <v>34</v>
      </c>
      <c r="F196" s="270" t="s">
        <v>1814</v>
      </c>
      <c r="G196" s="270" t="s">
        <v>36</v>
      </c>
      <c r="H196" s="349">
        <v>36</v>
      </c>
      <c r="I196" s="292"/>
      <c r="J196" s="286"/>
      <c r="K196" s="286"/>
      <c r="L196" s="286"/>
      <c r="M196" s="286"/>
      <c r="N196" s="286"/>
      <c r="O196" s="286"/>
      <c r="P196" s="286"/>
      <c r="Q196" s="286"/>
      <c r="R196" s="286"/>
      <c r="S196" s="286"/>
      <c r="T196" s="286"/>
      <c r="U196" s="286"/>
      <c r="V196" s="294"/>
      <c r="W196" s="286"/>
      <c r="X196" s="286"/>
      <c r="Y196" s="286"/>
      <c r="Z196" s="286"/>
      <c r="AA196" s="286"/>
      <c r="AB196" s="286"/>
      <c r="AC196" s="286"/>
      <c r="AD196" s="286"/>
      <c r="AE196" s="286">
        <v>50</v>
      </c>
      <c r="AF196" s="286"/>
      <c r="AG196" s="286"/>
      <c r="AH196" s="286"/>
      <c r="AI196" s="286"/>
      <c r="AJ196" s="286"/>
      <c r="AK196" s="287"/>
      <c r="AL196" s="288"/>
      <c r="AM196" s="287"/>
      <c r="AN196" s="287"/>
      <c r="AO196" s="287"/>
      <c r="AP196" s="286"/>
      <c r="AQ196" s="296"/>
      <c r="AR196" s="286"/>
      <c r="AS196" s="286"/>
      <c r="AT196" s="28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7"/>
      <c r="BE196" s="287"/>
      <c r="BF196" s="287"/>
      <c r="BG196" s="287"/>
      <c r="BH196" s="287"/>
      <c r="BI196" s="287"/>
      <c r="BJ196" s="287"/>
      <c r="BK196" s="287"/>
      <c r="BL196" s="287"/>
      <c r="BM196" s="287"/>
      <c r="BN196" s="287"/>
      <c r="BO196" s="287"/>
      <c r="BP196" s="287"/>
      <c r="BQ196" s="287"/>
      <c r="BR196" s="287">
        <v>50</v>
      </c>
      <c r="BS196" s="287"/>
      <c r="BT196" s="287"/>
      <c r="BU196" s="287"/>
      <c r="BV196" s="287"/>
      <c r="BW196" s="287"/>
      <c r="BX196" s="286"/>
      <c r="BY196" s="289"/>
      <c r="BZ196" s="289"/>
      <c r="CA196" s="289"/>
      <c r="CB196" s="289"/>
      <c r="CC196" s="289"/>
      <c r="CD196" s="289"/>
      <c r="CE196" s="289"/>
      <c r="CF196" s="289"/>
      <c r="CG196" s="287"/>
      <c r="CH196" s="287"/>
      <c r="CI196" s="287"/>
      <c r="CJ196" s="287"/>
      <c r="CK196" s="287"/>
      <c r="CL196" s="287"/>
      <c r="CM196" s="287"/>
      <c r="CN196" s="287"/>
      <c r="CO196" s="287"/>
      <c r="CP196" s="287"/>
      <c r="CQ196" s="287"/>
      <c r="CR196" s="287"/>
      <c r="CS196" s="6"/>
      <c r="CT196" s="6"/>
      <c r="CU196" s="6"/>
      <c r="CV196" s="6"/>
      <c r="CW196" s="6"/>
      <c r="CX196" s="6"/>
      <c r="CY196" s="6"/>
      <c r="CZ196" s="6"/>
      <c r="DA196" s="343">
        <f t="shared" si="6"/>
        <v>36</v>
      </c>
    </row>
    <row r="197" spans="1:105" ht="20" customHeight="1" x14ac:dyDescent="0.35">
      <c r="A197" s="290">
        <v>520721</v>
      </c>
      <c r="B197" s="270" t="s">
        <v>810</v>
      </c>
      <c r="C197" s="270" t="s">
        <v>1608</v>
      </c>
      <c r="D197" s="297" t="s">
        <v>630</v>
      </c>
      <c r="E197" s="270" t="s">
        <v>34</v>
      </c>
      <c r="F197" s="270" t="s">
        <v>1813</v>
      </c>
      <c r="G197" s="270" t="s">
        <v>38</v>
      </c>
      <c r="H197" s="298">
        <f>H196/12</f>
        <v>3</v>
      </c>
      <c r="I197" s="300">
        <v>4.5</v>
      </c>
      <c r="J197" s="292">
        <v>5</v>
      </c>
      <c r="K197" s="286"/>
      <c r="L197" s="286"/>
      <c r="M197" s="286"/>
      <c r="N197" s="292">
        <f>15/3</f>
        <v>5</v>
      </c>
      <c r="O197" s="286"/>
      <c r="P197" s="286"/>
      <c r="Q197" s="286"/>
      <c r="R197" s="286"/>
      <c r="S197" s="286"/>
      <c r="T197" s="286"/>
      <c r="U197" s="286"/>
      <c r="V197" s="294"/>
      <c r="W197" s="286"/>
      <c r="X197" s="286"/>
      <c r="Y197" s="286"/>
      <c r="Z197" s="286"/>
      <c r="AA197" s="286"/>
      <c r="AB197" s="286"/>
      <c r="AC197" s="286"/>
      <c r="AD197" s="286"/>
      <c r="AE197" s="286"/>
      <c r="AF197" s="286"/>
      <c r="AG197" s="286"/>
      <c r="AH197" s="286"/>
      <c r="AI197" s="286"/>
      <c r="AJ197" s="286">
        <v>5</v>
      </c>
      <c r="AK197" s="295">
        <v>4.5</v>
      </c>
      <c r="AL197" s="288"/>
      <c r="AM197" s="287"/>
      <c r="AN197" s="287"/>
      <c r="AO197" s="287"/>
      <c r="AP197" s="286"/>
      <c r="AQ197" s="296">
        <v>4.5</v>
      </c>
      <c r="AR197" s="286">
        <v>5</v>
      </c>
      <c r="AS197" s="286"/>
      <c r="AT197" s="286">
        <v>5</v>
      </c>
      <c r="AU197" s="286"/>
      <c r="AV197" s="286"/>
      <c r="AW197" s="286">
        <v>5</v>
      </c>
      <c r="AX197" s="286">
        <v>5</v>
      </c>
      <c r="AY197" s="286">
        <v>5</v>
      </c>
      <c r="AZ197" s="286"/>
      <c r="BA197" s="286">
        <v>5</v>
      </c>
      <c r="BB197" s="286"/>
      <c r="BC197" s="286">
        <v>5</v>
      </c>
      <c r="BD197" s="287"/>
      <c r="BE197" s="287"/>
      <c r="BF197" s="287"/>
      <c r="BG197" s="288">
        <v>4.2</v>
      </c>
      <c r="BH197" s="287"/>
      <c r="BI197" s="287"/>
      <c r="BJ197" s="287"/>
      <c r="BK197" s="287"/>
      <c r="BL197" s="287"/>
      <c r="BM197" s="287"/>
      <c r="BN197" s="287"/>
      <c r="BO197" s="287"/>
      <c r="BP197" s="287"/>
      <c r="BQ197" s="287"/>
      <c r="BR197" s="287"/>
      <c r="BS197" s="287"/>
      <c r="BT197" s="287"/>
      <c r="BU197" s="287">
        <v>5</v>
      </c>
      <c r="BV197" s="287"/>
      <c r="BW197" s="287"/>
      <c r="BX197" s="286"/>
      <c r="BY197" s="289"/>
      <c r="BZ197" s="289"/>
      <c r="CA197" s="289"/>
      <c r="CB197" s="289"/>
      <c r="CC197" s="289"/>
      <c r="CD197" s="289"/>
      <c r="CE197" s="289"/>
      <c r="CF197" s="289"/>
      <c r="CG197" s="287"/>
      <c r="CH197" s="287"/>
      <c r="CI197" s="287"/>
      <c r="CJ197" s="287"/>
      <c r="CK197" s="287"/>
      <c r="CL197" s="287"/>
      <c r="CM197" s="287"/>
      <c r="CN197" s="287"/>
      <c r="CO197" s="287"/>
      <c r="CP197" s="287"/>
      <c r="CQ197" s="287">
        <v>4.5</v>
      </c>
      <c r="CR197" s="307"/>
      <c r="CS197" s="315">
        <v>4.5</v>
      </c>
      <c r="CT197" s="6"/>
      <c r="CU197" s="6"/>
      <c r="CV197" s="6"/>
      <c r="CW197" s="6"/>
      <c r="CX197" s="6"/>
      <c r="CY197" s="6"/>
      <c r="CZ197" s="6"/>
      <c r="DA197" s="343">
        <f t="shared" si="6"/>
        <v>3</v>
      </c>
    </row>
    <row r="198" spans="1:105" ht="20" customHeight="1" x14ac:dyDescent="0.35">
      <c r="A198" s="290" t="s">
        <v>2063</v>
      </c>
      <c r="B198" s="270" t="s">
        <v>810</v>
      </c>
      <c r="C198" s="270" t="s">
        <v>1608</v>
      </c>
      <c r="D198" s="297" t="s">
        <v>630</v>
      </c>
      <c r="E198" s="270" t="s">
        <v>34</v>
      </c>
      <c r="F198" s="270" t="s">
        <v>1813</v>
      </c>
      <c r="G198" s="270" t="s">
        <v>38</v>
      </c>
      <c r="H198" s="298">
        <f>H197/12</f>
        <v>0.25</v>
      </c>
      <c r="I198" s="300"/>
      <c r="J198" s="292"/>
      <c r="K198" s="286"/>
      <c r="L198" s="286"/>
      <c r="M198" s="286"/>
      <c r="N198" s="292"/>
      <c r="O198" s="286"/>
      <c r="P198" s="286"/>
      <c r="Q198" s="286"/>
      <c r="R198" s="286"/>
      <c r="S198" s="286"/>
      <c r="T198" s="286"/>
      <c r="U198" s="286"/>
      <c r="V198" s="294"/>
      <c r="W198" s="286"/>
      <c r="X198" s="286"/>
      <c r="Y198" s="286"/>
      <c r="Z198" s="286"/>
      <c r="AA198" s="286"/>
      <c r="AB198" s="286"/>
      <c r="AC198" s="286"/>
      <c r="AD198" s="286"/>
      <c r="AE198" s="286"/>
      <c r="AF198" s="286"/>
      <c r="AG198" s="286"/>
      <c r="AH198" s="286"/>
      <c r="AI198" s="286"/>
      <c r="AJ198" s="286"/>
      <c r="AK198" s="295"/>
      <c r="AL198" s="288"/>
      <c r="AM198" s="287"/>
      <c r="AN198" s="287"/>
      <c r="AO198" s="287"/>
      <c r="AP198" s="286"/>
      <c r="AQ198" s="296"/>
      <c r="AR198" s="286"/>
      <c r="AS198" s="286"/>
      <c r="AT198" s="28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7"/>
      <c r="BE198" s="287"/>
      <c r="BF198" s="287"/>
      <c r="BG198" s="288"/>
      <c r="BH198" s="287"/>
      <c r="BI198" s="287"/>
      <c r="BJ198" s="287"/>
      <c r="BK198" s="287"/>
      <c r="BL198" s="287"/>
      <c r="BM198" s="287"/>
      <c r="BN198" s="287"/>
      <c r="BO198" s="287"/>
      <c r="BP198" s="287"/>
      <c r="BQ198" s="287"/>
      <c r="BR198" s="287"/>
      <c r="BS198" s="287"/>
      <c r="BT198" s="287"/>
      <c r="BU198" s="287"/>
      <c r="BV198" s="287"/>
      <c r="BW198" s="287"/>
      <c r="BX198" s="286"/>
      <c r="BY198" s="289"/>
      <c r="BZ198" s="289"/>
      <c r="CA198" s="289"/>
      <c r="CB198" s="289"/>
      <c r="CC198" s="289"/>
      <c r="CD198" s="289"/>
      <c r="CE198" s="289"/>
      <c r="CF198" s="289"/>
      <c r="CG198" s="287"/>
      <c r="CH198" s="287"/>
      <c r="CI198" s="287"/>
      <c r="CJ198" s="287"/>
      <c r="CK198" s="287"/>
      <c r="CL198" s="287"/>
      <c r="CM198" s="287"/>
      <c r="CN198" s="287"/>
      <c r="CO198" s="287"/>
      <c r="CP198" s="287"/>
      <c r="CQ198" s="287">
        <v>4.5</v>
      </c>
      <c r="CR198" s="307"/>
      <c r="CS198" s="315">
        <v>4.5</v>
      </c>
      <c r="CT198" s="6"/>
      <c r="CU198" s="6"/>
      <c r="CV198" s="6"/>
      <c r="CW198" s="6"/>
      <c r="CX198" s="6"/>
      <c r="CY198" s="6"/>
      <c r="CZ198" s="6"/>
      <c r="DA198" s="343">
        <f>H198</f>
        <v>0.25</v>
      </c>
    </row>
    <row r="199" spans="1:105" ht="20" customHeight="1" x14ac:dyDescent="0.35">
      <c r="A199" s="316">
        <v>4000005589</v>
      </c>
      <c r="B199" s="270" t="s">
        <v>811</v>
      </c>
      <c r="C199" s="270" t="s">
        <v>1609</v>
      </c>
      <c r="D199" s="270" t="s">
        <v>630</v>
      </c>
      <c r="E199" s="270" t="s">
        <v>34</v>
      </c>
      <c r="F199" s="270" t="s">
        <v>1815</v>
      </c>
      <c r="G199" s="270" t="s">
        <v>39</v>
      </c>
      <c r="H199" s="349">
        <f>2.5*25</f>
        <v>62.5</v>
      </c>
      <c r="I199" s="286"/>
      <c r="J199" s="286"/>
      <c r="K199" s="286">
        <v>90</v>
      </c>
      <c r="L199" s="286"/>
      <c r="M199" s="286"/>
      <c r="N199" s="286"/>
      <c r="O199" s="286">
        <v>78</v>
      </c>
      <c r="P199" s="286"/>
      <c r="Q199" s="286"/>
      <c r="R199" s="286"/>
      <c r="S199" s="286"/>
      <c r="T199" s="286"/>
      <c r="U199" s="286"/>
      <c r="V199" s="286"/>
      <c r="W199" s="286"/>
      <c r="X199" s="286"/>
      <c r="Y199" s="286"/>
      <c r="Z199" s="286"/>
      <c r="AA199" s="286"/>
      <c r="AB199" s="286"/>
      <c r="AC199" s="286"/>
      <c r="AD199" s="286"/>
      <c r="AE199" s="286"/>
      <c r="AF199" s="286"/>
      <c r="AG199" s="286"/>
      <c r="AH199" s="286"/>
      <c r="AI199" s="286"/>
      <c r="AJ199" s="286"/>
      <c r="AK199" s="287"/>
      <c r="AL199" s="288"/>
      <c r="AM199" s="287"/>
      <c r="AN199" s="287"/>
      <c r="AO199" s="287"/>
      <c r="AP199" s="286"/>
      <c r="AQ199" s="296"/>
      <c r="AR199" s="286"/>
      <c r="AS199" s="286"/>
      <c r="AT199" s="28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7"/>
      <c r="BE199" s="287"/>
      <c r="BF199" s="287"/>
      <c r="BG199" s="287"/>
      <c r="BH199" s="287"/>
      <c r="BI199" s="287"/>
      <c r="BJ199" s="287"/>
      <c r="BK199" s="287"/>
      <c r="BL199" s="287"/>
      <c r="BM199" s="287"/>
      <c r="BN199" s="287"/>
      <c r="BO199" s="287"/>
      <c r="BP199" s="287"/>
      <c r="BQ199" s="287"/>
      <c r="BR199" s="287"/>
      <c r="BS199" s="287"/>
      <c r="BT199" s="287"/>
      <c r="BU199" s="287"/>
      <c r="BV199" s="287"/>
      <c r="BW199" s="287"/>
      <c r="BX199" s="286"/>
      <c r="BY199" s="289"/>
      <c r="BZ199" s="289"/>
      <c r="CA199" s="289"/>
      <c r="CB199" s="289"/>
      <c r="CC199" s="289"/>
      <c r="CD199" s="289"/>
      <c r="CE199" s="289"/>
      <c r="CF199" s="289"/>
      <c r="CG199" s="287"/>
      <c r="CH199" s="287"/>
      <c r="CI199" s="287"/>
      <c r="CJ199" s="287"/>
      <c r="CK199" s="287"/>
      <c r="CL199" s="287"/>
      <c r="CM199" s="287"/>
      <c r="CN199" s="287"/>
      <c r="CO199" s="287"/>
      <c r="CP199" s="287"/>
      <c r="CQ199" s="287"/>
      <c r="CR199" s="287"/>
      <c r="CS199" s="6"/>
      <c r="CT199" s="6"/>
      <c r="CU199" s="6"/>
      <c r="CV199" s="6"/>
      <c r="CW199" s="6"/>
      <c r="CX199" s="6"/>
      <c r="CY199" s="6"/>
      <c r="CZ199" s="6"/>
      <c r="DA199" s="343">
        <f t="shared" si="6"/>
        <v>62.5</v>
      </c>
    </row>
    <row r="200" spans="1:105" ht="20" customHeight="1" x14ac:dyDescent="0.35">
      <c r="A200" s="290">
        <v>520738</v>
      </c>
      <c r="B200" s="270" t="s">
        <v>812</v>
      </c>
      <c r="C200" s="270" t="s">
        <v>1610</v>
      </c>
      <c r="D200" s="297" t="s">
        <v>630</v>
      </c>
      <c r="E200" s="270" t="s">
        <v>34</v>
      </c>
      <c r="F200" s="270" t="s">
        <v>613</v>
      </c>
      <c r="G200" s="270" t="s">
        <v>39</v>
      </c>
      <c r="H200" s="298">
        <f>H199/25*5</f>
        <v>12.5</v>
      </c>
      <c r="I200" s="300">
        <v>17.5</v>
      </c>
      <c r="J200" s="292">
        <v>17.5</v>
      </c>
      <c r="K200" s="286"/>
      <c r="L200" s="286"/>
      <c r="M200" s="286"/>
      <c r="N200" s="292">
        <v>19.5</v>
      </c>
      <c r="O200" s="286">
        <v>19.5</v>
      </c>
      <c r="P200" s="292">
        <v>19.5</v>
      </c>
      <c r="Q200" s="286">
        <v>19.5</v>
      </c>
      <c r="R200" s="286">
        <v>19</v>
      </c>
      <c r="S200" s="286">
        <v>20</v>
      </c>
      <c r="T200" s="286"/>
      <c r="U200" s="286"/>
      <c r="V200" s="294"/>
      <c r="W200" s="286"/>
      <c r="X200" s="286"/>
      <c r="Y200" s="286"/>
      <c r="Z200" s="286"/>
      <c r="AA200" s="286"/>
      <c r="AB200" s="300">
        <v>19</v>
      </c>
      <c r="AC200" s="286"/>
      <c r="AD200" s="286"/>
      <c r="AE200" s="300"/>
      <c r="AF200" s="300"/>
      <c r="AG200" s="300">
        <v>19</v>
      </c>
      <c r="AH200" s="286"/>
      <c r="AI200" s="286"/>
      <c r="AJ200" s="286"/>
      <c r="AK200" s="295">
        <v>18</v>
      </c>
      <c r="AL200" s="288"/>
      <c r="AM200" s="287">
        <v>19</v>
      </c>
      <c r="AN200" s="287"/>
      <c r="AO200" s="287"/>
      <c r="AP200" s="300">
        <v>17.5</v>
      </c>
      <c r="AQ200" s="296">
        <v>18</v>
      </c>
      <c r="AR200" s="286"/>
      <c r="AS200" s="286"/>
      <c r="AT200" s="300">
        <v>17.5</v>
      </c>
      <c r="AU200" s="300">
        <v>17.5</v>
      </c>
      <c r="AV200" s="300">
        <v>17.5</v>
      </c>
      <c r="AW200" s="300">
        <v>17.5</v>
      </c>
      <c r="AX200" s="300">
        <v>17.5</v>
      </c>
      <c r="AY200" s="300">
        <v>17.5</v>
      </c>
      <c r="AZ200" s="300"/>
      <c r="BA200" s="300">
        <v>17.5</v>
      </c>
      <c r="BB200" s="286">
        <f>BA200</f>
        <v>17.5</v>
      </c>
      <c r="BC200" s="300">
        <v>17.5</v>
      </c>
      <c r="BD200" s="289">
        <v>21</v>
      </c>
      <c r="BE200" s="299">
        <v>17.5</v>
      </c>
      <c r="BF200" s="287"/>
      <c r="BG200" s="288">
        <v>18</v>
      </c>
      <c r="BH200" s="287"/>
      <c r="BI200" s="287"/>
      <c r="BJ200" s="287"/>
      <c r="BK200" s="287"/>
      <c r="BL200" s="287"/>
      <c r="BM200" s="287"/>
      <c r="BN200" s="287"/>
      <c r="BO200" s="287"/>
      <c r="BP200" s="287"/>
      <c r="BQ200" s="287"/>
      <c r="BR200" s="287"/>
      <c r="BS200" s="287"/>
      <c r="BT200" s="287"/>
      <c r="BU200" s="287"/>
      <c r="BV200" s="287"/>
      <c r="BW200" s="287"/>
      <c r="BX200" s="286"/>
      <c r="BY200" s="289"/>
      <c r="BZ200" s="289">
        <v>19</v>
      </c>
      <c r="CA200" s="289"/>
      <c r="CB200" s="289"/>
      <c r="CC200" s="289"/>
      <c r="CD200" s="289"/>
      <c r="CE200" s="289"/>
      <c r="CF200" s="289"/>
      <c r="CG200" s="287"/>
      <c r="CH200" s="287"/>
      <c r="CI200" s="287"/>
      <c r="CJ200" s="287"/>
      <c r="CK200" s="287"/>
      <c r="CL200" s="287"/>
      <c r="CM200" s="287"/>
      <c r="CN200" s="287"/>
      <c r="CO200" s="287"/>
      <c r="CP200" s="287"/>
      <c r="CQ200" s="287">
        <v>17.5</v>
      </c>
      <c r="CR200" s="307">
        <v>18</v>
      </c>
      <c r="CS200" s="315">
        <v>17.5</v>
      </c>
      <c r="CT200" s="6"/>
      <c r="CU200" s="6"/>
      <c r="CV200" s="6"/>
      <c r="CW200" s="6"/>
      <c r="CX200" s="6"/>
      <c r="CY200" s="6"/>
      <c r="CZ200" s="6"/>
      <c r="DA200" s="343">
        <f t="shared" si="6"/>
        <v>12.5</v>
      </c>
    </row>
    <row r="201" spans="1:105" ht="20" customHeight="1" x14ac:dyDescent="0.35">
      <c r="A201" s="309"/>
      <c r="B201" s="270" t="s">
        <v>813</v>
      </c>
      <c r="C201" s="270" t="s">
        <v>1609</v>
      </c>
      <c r="D201" s="270"/>
      <c r="E201" s="270" t="s">
        <v>34</v>
      </c>
      <c r="F201" s="270" t="s">
        <v>1048</v>
      </c>
      <c r="G201" s="270" t="s">
        <v>39</v>
      </c>
      <c r="H201" s="298">
        <f>H199/25*2</f>
        <v>5</v>
      </c>
      <c r="I201" s="286"/>
      <c r="J201" s="286"/>
      <c r="K201" s="286"/>
      <c r="L201" s="286"/>
      <c r="M201" s="286"/>
      <c r="N201" s="286"/>
      <c r="O201" s="286"/>
      <c r="P201" s="286"/>
      <c r="Q201" s="286"/>
      <c r="R201" s="286"/>
      <c r="S201" s="286"/>
      <c r="T201" s="286"/>
      <c r="U201" s="286"/>
      <c r="V201" s="294"/>
      <c r="W201" s="286"/>
      <c r="X201" s="286"/>
      <c r="Y201" s="286"/>
      <c r="Z201" s="286"/>
      <c r="AA201" s="286"/>
      <c r="AB201" s="286"/>
      <c r="AC201" s="286"/>
      <c r="AD201" s="286"/>
      <c r="AE201" s="286"/>
      <c r="AF201" s="286"/>
      <c r="AG201" s="286"/>
      <c r="AH201" s="286"/>
      <c r="AI201" s="286"/>
      <c r="AJ201" s="286"/>
      <c r="AK201" s="287"/>
      <c r="AL201" s="288"/>
      <c r="AM201" s="287"/>
      <c r="AN201" s="287"/>
      <c r="AO201" s="287"/>
      <c r="AP201" s="286"/>
      <c r="AQ201" s="296"/>
      <c r="AR201" s="286"/>
      <c r="AS201" s="286"/>
      <c r="AT201" s="28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7"/>
      <c r="BE201" s="287"/>
      <c r="BF201" s="287"/>
      <c r="BG201" s="287"/>
      <c r="BH201" s="287"/>
      <c r="BI201" s="287"/>
      <c r="BJ201" s="287"/>
      <c r="BK201" s="287"/>
      <c r="BL201" s="287"/>
      <c r="BM201" s="287"/>
      <c r="BN201" s="287"/>
      <c r="BO201" s="287"/>
      <c r="BP201" s="287"/>
      <c r="BQ201" s="287"/>
      <c r="BR201" s="287"/>
      <c r="BS201" s="287"/>
      <c r="BT201" s="287"/>
      <c r="BU201" s="287"/>
      <c r="BV201" s="287"/>
      <c r="BW201" s="287"/>
      <c r="BX201" s="286"/>
      <c r="BY201" s="289"/>
      <c r="BZ201" s="289"/>
      <c r="CA201" s="289"/>
      <c r="CB201" s="289"/>
      <c r="CC201" s="289"/>
      <c r="CD201" s="289"/>
      <c r="CE201" s="289"/>
      <c r="CF201" s="289"/>
      <c r="CG201" s="287"/>
      <c r="CH201" s="287"/>
      <c r="CI201" s="287"/>
      <c r="CJ201" s="287"/>
      <c r="CK201" s="287"/>
      <c r="CL201" s="287"/>
      <c r="CM201" s="287"/>
      <c r="CN201" s="287"/>
      <c r="CO201" s="287"/>
      <c r="CP201" s="287"/>
      <c r="CQ201" s="287"/>
      <c r="CR201" s="287"/>
      <c r="CS201" s="6"/>
      <c r="CT201" s="6"/>
      <c r="CU201" s="6"/>
      <c r="CV201" s="6"/>
      <c r="CW201" s="6"/>
      <c r="CX201" s="6"/>
      <c r="CY201" s="6"/>
      <c r="CZ201" s="6"/>
      <c r="DA201" s="343">
        <f t="shared" si="6"/>
        <v>5</v>
      </c>
    </row>
    <row r="202" spans="1:105" ht="20" customHeight="1" x14ac:dyDescent="0.35">
      <c r="A202" s="301"/>
      <c r="B202" s="270" t="s">
        <v>814</v>
      </c>
      <c r="C202" s="270" t="s">
        <v>1609</v>
      </c>
      <c r="D202" s="270"/>
      <c r="E202" s="270" t="s">
        <v>34</v>
      </c>
      <c r="F202" s="270" t="s">
        <v>614</v>
      </c>
      <c r="G202" s="270" t="s">
        <v>39</v>
      </c>
      <c r="H202" s="298">
        <f>H199/25*3</f>
        <v>7.5</v>
      </c>
      <c r="I202" s="286"/>
      <c r="J202" s="286"/>
      <c r="K202" s="286"/>
      <c r="L202" s="286"/>
      <c r="M202" s="286"/>
      <c r="N202" s="286"/>
      <c r="O202" s="286"/>
      <c r="P202" s="286"/>
      <c r="Q202" s="286"/>
      <c r="R202" s="286"/>
      <c r="S202" s="286"/>
      <c r="T202" s="286"/>
      <c r="U202" s="286"/>
      <c r="V202" s="294"/>
      <c r="W202" s="286"/>
      <c r="X202" s="286"/>
      <c r="Y202" s="286"/>
      <c r="Z202" s="286"/>
      <c r="AA202" s="286"/>
      <c r="AB202" s="286"/>
      <c r="AC202" s="286"/>
      <c r="AD202" s="286"/>
      <c r="AE202" s="286"/>
      <c r="AF202" s="286"/>
      <c r="AG202" s="286"/>
      <c r="AH202" s="286"/>
      <c r="AI202" s="286"/>
      <c r="AJ202" s="286"/>
      <c r="AK202" s="287"/>
      <c r="AL202" s="288"/>
      <c r="AM202" s="287"/>
      <c r="AN202" s="287"/>
      <c r="AO202" s="287"/>
      <c r="AP202" s="286"/>
      <c r="AQ202" s="296"/>
      <c r="AR202" s="286"/>
      <c r="AS202" s="286"/>
      <c r="AT202" s="286"/>
      <c r="AU202" s="286"/>
      <c r="AV202" s="286"/>
      <c r="AW202" s="286"/>
      <c r="AX202" s="286"/>
      <c r="AY202" s="286"/>
      <c r="AZ202" s="286"/>
      <c r="BA202" s="286"/>
      <c r="BB202" s="286"/>
      <c r="BC202" s="286"/>
      <c r="BD202" s="287"/>
      <c r="BE202" s="287"/>
      <c r="BF202" s="287"/>
      <c r="BG202" s="287"/>
      <c r="BH202" s="287"/>
      <c r="BI202" s="287"/>
      <c r="BJ202" s="287"/>
      <c r="BK202" s="287"/>
      <c r="BL202" s="287"/>
      <c r="BM202" s="287"/>
      <c r="BN202" s="287"/>
      <c r="BO202" s="287"/>
      <c r="BP202" s="287"/>
      <c r="BQ202" s="287"/>
      <c r="BR202" s="287"/>
      <c r="BS202" s="287"/>
      <c r="BT202" s="287"/>
      <c r="BU202" s="287"/>
      <c r="BV202" s="287"/>
      <c r="BW202" s="287"/>
      <c r="BX202" s="286"/>
      <c r="BY202" s="289"/>
      <c r="BZ202" s="289"/>
      <c r="CA202" s="289"/>
      <c r="CB202" s="289"/>
      <c r="CC202" s="289"/>
      <c r="CD202" s="289"/>
      <c r="CE202" s="289"/>
      <c r="CF202" s="289"/>
      <c r="CG202" s="287"/>
      <c r="CH202" s="287"/>
      <c r="CI202" s="287"/>
      <c r="CJ202" s="287"/>
      <c r="CK202" s="287"/>
      <c r="CL202" s="287"/>
      <c r="CM202" s="287"/>
      <c r="CN202" s="287"/>
      <c r="CO202" s="287"/>
      <c r="CP202" s="287"/>
      <c r="CQ202" s="287"/>
      <c r="CR202" s="287"/>
      <c r="CS202" s="6"/>
      <c r="CT202" s="6"/>
      <c r="CU202" s="6"/>
      <c r="CV202" s="6"/>
      <c r="CW202" s="6"/>
      <c r="CX202" s="6"/>
      <c r="CY202" s="6"/>
      <c r="CZ202" s="6"/>
      <c r="DA202" s="343">
        <f t="shared" si="6"/>
        <v>7.5</v>
      </c>
    </row>
    <row r="203" spans="1:105" ht="20" customHeight="1" x14ac:dyDescent="0.35">
      <c r="A203" s="301"/>
      <c r="B203" s="270" t="s">
        <v>815</v>
      </c>
      <c r="C203" s="270" t="s">
        <v>1609</v>
      </c>
      <c r="D203" s="270"/>
      <c r="E203" s="270" t="s">
        <v>34</v>
      </c>
      <c r="F203" s="270" t="s">
        <v>62</v>
      </c>
      <c r="G203" s="270" t="s">
        <v>39</v>
      </c>
      <c r="H203" s="298">
        <f>H199/25</f>
        <v>2.5</v>
      </c>
      <c r="I203" s="286"/>
      <c r="J203" s="286"/>
      <c r="K203" s="286"/>
      <c r="L203" s="286"/>
      <c r="M203" s="286"/>
      <c r="N203" s="286"/>
      <c r="O203" s="286"/>
      <c r="P203" s="286"/>
      <c r="Q203" s="286"/>
      <c r="R203" s="286"/>
      <c r="S203" s="286"/>
      <c r="T203" s="286"/>
      <c r="U203" s="286"/>
      <c r="V203" s="294"/>
      <c r="W203" s="286"/>
      <c r="X203" s="286"/>
      <c r="Y203" s="286"/>
      <c r="Z203" s="286"/>
      <c r="AA203" s="286"/>
      <c r="AB203" s="286"/>
      <c r="AC203" s="286"/>
      <c r="AD203" s="286"/>
      <c r="AE203" s="286"/>
      <c r="AF203" s="286"/>
      <c r="AG203" s="286"/>
      <c r="AH203" s="286"/>
      <c r="AI203" s="286"/>
      <c r="AJ203" s="286"/>
      <c r="AK203" s="287"/>
      <c r="AL203" s="288"/>
      <c r="AM203" s="287"/>
      <c r="AN203" s="287"/>
      <c r="AO203" s="287"/>
      <c r="AP203" s="286"/>
      <c r="AQ203" s="296"/>
      <c r="AR203" s="286"/>
      <c r="AS203" s="286"/>
      <c r="AT203" s="286"/>
      <c r="AU203" s="286"/>
      <c r="AV203" s="286"/>
      <c r="AW203" s="286"/>
      <c r="AX203" s="286"/>
      <c r="AY203" s="286"/>
      <c r="AZ203" s="286"/>
      <c r="BA203" s="286"/>
      <c r="BB203" s="286"/>
      <c r="BC203" s="286"/>
      <c r="BD203" s="287"/>
      <c r="BE203" s="287"/>
      <c r="BF203" s="287"/>
      <c r="BG203" s="287"/>
      <c r="BH203" s="287"/>
      <c r="BI203" s="287"/>
      <c r="BJ203" s="287"/>
      <c r="BK203" s="287"/>
      <c r="BL203" s="287"/>
      <c r="BM203" s="287"/>
      <c r="BN203" s="287"/>
      <c r="BO203" s="287"/>
      <c r="BP203" s="287"/>
      <c r="BQ203" s="287"/>
      <c r="BR203" s="287"/>
      <c r="BS203" s="287"/>
      <c r="BT203" s="287"/>
      <c r="BU203" s="287"/>
      <c r="BV203" s="287"/>
      <c r="BW203" s="287"/>
      <c r="BX203" s="286"/>
      <c r="BY203" s="289"/>
      <c r="BZ203" s="289"/>
      <c r="CA203" s="289"/>
      <c r="CB203" s="289"/>
      <c r="CC203" s="289"/>
      <c r="CD203" s="289"/>
      <c r="CE203" s="289"/>
      <c r="CF203" s="289"/>
      <c r="CG203" s="287"/>
      <c r="CH203" s="287"/>
      <c r="CI203" s="287"/>
      <c r="CJ203" s="287"/>
      <c r="CK203" s="287"/>
      <c r="CL203" s="287"/>
      <c r="CM203" s="287"/>
      <c r="CN203" s="287"/>
      <c r="CO203" s="287"/>
      <c r="CP203" s="287"/>
      <c r="CQ203" s="287"/>
      <c r="CR203" s="287"/>
      <c r="CS203" s="6"/>
      <c r="CT203" s="6"/>
      <c r="CU203" s="6"/>
      <c r="CV203" s="6"/>
      <c r="CW203" s="6"/>
      <c r="CX203" s="6"/>
      <c r="CY203" s="6"/>
      <c r="CZ203" s="6"/>
      <c r="DA203" s="343">
        <f t="shared" si="6"/>
        <v>2.5</v>
      </c>
    </row>
    <row r="204" spans="1:105" ht="20" customHeight="1" x14ac:dyDescent="0.35">
      <c r="A204" s="301"/>
      <c r="B204" s="306" t="s">
        <v>1242</v>
      </c>
      <c r="C204" s="270" t="s">
        <v>1609</v>
      </c>
      <c r="D204" s="270" t="s">
        <v>630</v>
      </c>
      <c r="E204" s="270" t="s">
        <v>34</v>
      </c>
      <c r="F204" s="270" t="s">
        <v>1812</v>
      </c>
      <c r="G204" s="270" t="s">
        <v>39</v>
      </c>
      <c r="H204" s="298">
        <f>H203*2.5</f>
        <v>6.25</v>
      </c>
      <c r="I204" s="286"/>
      <c r="J204" s="286"/>
      <c r="K204" s="286"/>
      <c r="L204" s="286"/>
      <c r="M204" s="286"/>
      <c r="N204" s="286"/>
      <c r="O204" s="286"/>
      <c r="P204" s="286"/>
      <c r="Q204" s="286"/>
      <c r="R204" s="286"/>
      <c r="S204" s="286"/>
      <c r="T204" s="286"/>
      <c r="U204" s="286"/>
      <c r="V204" s="294"/>
      <c r="W204" s="286"/>
      <c r="X204" s="286"/>
      <c r="Y204" s="286"/>
      <c r="Z204" s="286"/>
      <c r="AA204" s="286"/>
      <c r="AB204" s="286"/>
      <c r="AC204" s="286"/>
      <c r="AD204" s="286"/>
      <c r="AE204" s="286"/>
      <c r="AF204" s="286"/>
      <c r="AG204" s="286"/>
      <c r="AH204" s="286"/>
      <c r="AI204" s="286"/>
      <c r="AJ204" s="286"/>
      <c r="AK204" s="287"/>
      <c r="AL204" s="288"/>
      <c r="AM204" s="287"/>
      <c r="AN204" s="287"/>
      <c r="AO204" s="287"/>
      <c r="AP204" s="286"/>
      <c r="AQ204" s="296"/>
      <c r="AR204" s="286"/>
      <c r="AS204" s="286"/>
      <c r="AT204" s="286"/>
      <c r="AU204" s="286"/>
      <c r="AV204" s="286"/>
      <c r="AW204" s="286"/>
      <c r="AX204" s="286"/>
      <c r="AY204" s="286"/>
      <c r="AZ204" s="286"/>
      <c r="BA204" s="286"/>
      <c r="BB204" s="286"/>
      <c r="BC204" s="286"/>
      <c r="BD204" s="287"/>
      <c r="BE204" s="287"/>
      <c r="BF204" s="287"/>
      <c r="BG204" s="287"/>
      <c r="BH204" s="287"/>
      <c r="BI204" s="287"/>
      <c r="BJ204" s="287"/>
      <c r="BK204" s="287"/>
      <c r="BL204" s="287"/>
      <c r="BM204" s="287"/>
      <c r="BN204" s="287"/>
      <c r="BO204" s="287"/>
      <c r="BP204" s="287"/>
      <c r="BQ204" s="287"/>
      <c r="BR204" s="287"/>
      <c r="BS204" s="287"/>
      <c r="BT204" s="287"/>
      <c r="BU204" s="287"/>
      <c r="BV204" s="287"/>
      <c r="BW204" s="287"/>
      <c r="BX204" s="286"/>
      <c r="BY204" s="289"/>
      <c r="BZ204" s="289"/>
      <c r="CA204" s="289"/>
      <c r="CB204" s="289"/>
      <c r="CC204" s="289"/>
      <c r="CD204" s="289"/>
      <c r="CE204" s="289"/>
      <c r="CF204" s="289"/>
      <c r="CG204" s="287"/>
      <c r="CH204" s="287"/>
      <c r="CI204" s="287"/>
      <c r="CJ204" s="287"/>
      <c r="CK204" s="287"/>
      <c r="CL204" s="287"/>
      <c r="CM204" s="287"/>
      <c r="CN204" s="287"/>
      <c r="CO204" s="287"/>
      <c r="CP204" s="287"/>
      <c r="CQ204" s="287"/>
      <c r="CR204" s="287"/>
      <c r="CS204" s="6"/>
      <c r="CT204" s="6"/>
      <c r="CU204" s="6"/>
      <c r="CV204" s="6"/>
      <c r="CW204" s="6"/>
      <c r="CX204" s="6"/>
      <c r="CY204" s="6"/>
      <c r="CZ204" s="6"/>
      <c r="DA204" s="343">
        <f t="shared" si="6"/>
        <v>6.25</v>
      </c>
    </row>
    <row r="205" spans="1:105" ht="20" customHeight="1" x14ac:dyDescent="0.35">
      <c r="A205" s="301"/>
      <c r="B205" s="270" t="s">
        <v>816</v>
      </c>
      <c r="C205" s="270" t="s">
        <v>1611</v>
      </c>
      <c r="D205" s="297" t="s">
        <v>630</v>
      </c>
      <c r="E205" s="270" t="s">
        <v>34</v>
      </c>
      <c r="F205" s="270" t="s">
        <v>422</v>
      </c>
      <c r="G205" s="270" t="s">
        <v>39</v>
      </c>
      <c r="H205" s="349">
        <f>2.55*25</f>
        <v>63.749999999999993</v>
      </c>
      <c r="I205" s="286"/>
      <c r="J205" s="286"/>
      <c r="K205" s="286"/>
      <c r="L205" s="286"/>
      <c r="M205" s="286"/>
      <c r="N205" s="286"/>
      <c r="O205" s="286"/>
      <c r="P205" s="286"/>
      <c r="Q205" s="286"/>
      <c r="R205" s="286"/>
      <c r="S205" s="286"/>
      <c r="T205" s="286"/>
      <c r="U205" s="286"/>
      <c r="V205" s="294"/>
      <c r="W205" s="286"/>
      <c r="X205" s="286"/>
      <c r="Y205" s="286"/>
      <c r="Z205" s="286"/>
      <c r="AA205" s="286"/>
      <c r="AB205" s="286"/>
      <c r="AC205" s="286"/>
      <c r="AD205" s="286"/>
      <c r="AE205" s="286"/>
      <c r="AF205" s="286"/>
      <c r="AG205" s="286"/>
      <c r="AH205" s="286"/>
      <c r="AI205" s="286"/>
      <c r="AJ205" s="286"/>
      <c r="AK205" s="295"/>
      <c r="AL205" s="288"/>
      <c r="AM205" s="287"/>
      <c r="AN205" s="287"/>
      <c r="AO205" s="287"/>
      <c r="AP205" s="286"/>
      <c r="AQ205" s="296">
        <v>18</v>
      </c>
      <c r="AR205" s="286"/>
      <c r="AS205" s="286"/>
      <c r="AT205" s="286"/>
      <c r="AU205" s="286"/>
      <c r="AV205" s="286"/>
      <c r="AW205" s="286"/>
      <c r="AX205" s="286"/>
      <c r="AY205" s="286"/>
      <c r="AZ205" s="286"/>
      <c r="BA205" s="286"/>
      <c r="BB205" s="286"/>
      <c r="BC205" s="286"/>
      <c r="BD205" s="287"/>
      <c r="BE205" s="287"/>
      <c r="BF205" s="287"/>
      <c r="BG205" s="287"/>
      <c r="BH205" s="287"/>
      <c r="BI205" s="287"/>
      <c r="BJ205" s="287"/>
      <c r="BK205" s="287"/>
      <c r="BL205" s="287"/>
      <c r="BM205" s="287"/>
      <c r="BN205" s="287"/>
      <c r="BO205" s="287"/>
      <c r="BP205" s="287"/>
      <c r="BQ205" s="287"/>
      <c r="BR205" s="287"/>
      <c r="BS205" s="287"/>
      <c r="BT205" s="287"/>
      <c r="BU205" s="287"/>
      <c r="BV205" s="287"/>
      <c r="BW205" s="287"/>
      <c r="BX205" s="286"/>
      <c r="BY205" s="289"/>
      <c r="BZ205" s="289"/>
      <c r="CA205" s="289"/>
      <c r="CB205" s="289"/>
      <c r="CC205" s="289"/>
      <c r="CD205" s="289"/>
      <c r="CE205" s="289"/>
      <c r="CF205" s="289"/>
      <c r="CG205" s="287"/>
      <c r="CH205" s="287"/>
      <c r="CI205" s="287"/>
      <c r="CJ205" s="287"/>
      <c r="CK205" s="287"/>
      <c r="CL205" s="287"/>
      <c r="CM205" s="287"/>
      <c r="CN205" s="287"/>
      <c r="CO205" s="287"/>
      <c r="CP205" s="287"/>
      <c r="CQ205" s="287"/>
      <c r="CR205" s="287"/>
      <c r="CS205" s="6"/>
      <c r="CT205" s="6"/>
      <c r="CU205" s="6"/>
      <c r="CV205" s="6"/>
      <c r="CW205" s="6"/>
      <c r="CX205" s="6"/>
      <c r="CY205" s="6"/>
      <c r="CZ205" s="6"/>
      <c r="DA205" s="343">
        <f t="shared" si="6"/>
        <v>63.749999999999993</v>
      </c>
    </row>
    <row r="206" spans="1:105" ht="20" customHeight="1" x14ac:dyDescent="0.35">
      <c r="A206" s="290" t="s">
        <v>2064</v>
      </c>
      <c r="B206" s="270" t="s">
        <v>817</v>
      </c>
      <c r="C206" s="270" t="s">
        <v>1611</v>
      </c>
      <c r="D206" s="297" t="s">
        <v>630</v>
      </c>
      <c r="E206" s="270" t="s">
        <v>34</v>
      </c>
      <c r="F206" s="270" t="s">
        <v>613</v>
      </c>
      <c r="G206" s="270" t="s">
        <v>39</v>
      </c>
      <c r="H206" s="298">
        <f>H205/25*5</f>
        <v>12.75</v>
      </c>
      <c r="I206" s="292"/>
      <c r="J206" s="292">
        <v>17.5</v>
      </c>
      <c r="K206" s="286"/>
      <c r="L206" s="286">
        <v>20</v>
      </c>
      <c r="M206" s="286"/>
      <c r="N206" s="286"/>
      <c r="O206" s="286">
        <v>19</v>
      </c>
      <c r="P206" s="286">
        <v>0</v>
      </c>
      <c r="Q206" s="286">
        <v>0</v>
      </c>
      <c r="R206" s="286">
        <v>0</v>
      </c>
      <c r="S206" s="286">
        <v>0</v>
      </c>
      <c r="T206" s="286">
        <v>17.5</v>
      </c>
      <c r="U206" s="286"/>
      <c r="V206" s="294"/>
      <c r="W206" s="286"/>
      <c r="X206" s="286"/>
      <c r="Y206" s="286"/>
      <c r="Z206" s="286"/>
      <c r="AA206" s="286"/>
      <c r="AB206" s="286"/>
      <c r="AC206" s="286"/>
      <c r="AD206" s="286"/>
      <c r="AE206" s="286"/>
      <c r="AF206" s="286"/>
      <c r="AG206" s="286"/>
      <c r="AH206" s="286"/>
      <c r="AI206" s="286">
        <v>17.5</v>
      </c>
      <c r="AJ206" s="286"/>
      <c r="AK206" s="287">
        <v>18</v>
      </c>
      <c r="AL206" s="288">
        <v>17.5</v>
      </c>
      <c r="AM206" s="287"/>
      <c r="AN206" s="287"/>
      <c r="AO206" s="286">
        <v>17.5</v>
      </c>
      <c r="AP206" s="286">
        <v>17.5</v>
      </c>
      <c r="AQ206" s="296"/>
      <c r="AR206" s="286">
        <v>17.5</v>
      </c>
      <c r="AS206" s="286"/>
      <c r="AT206" s="286"/>
      <c r="AU206" s="286"/>
      <c r="AV206" s="286"/>
      <c r="AW206" s="286"/>
      <c r="AX206" s="286"/>
      <c r="AY206" s="286"/>
      <c r="AZ206" s="286">
        <v>17.5</v>
      </c>
      <c r="BA206" s="286"/>
      <c r="BB206" s="286"/>
      <c r="BC206" s="286"/>
      <c r="BD206" s="287"/>
      <c r="BE206" s="287"/>
      <c r="BF206" s="287"/>
      <c r="BG206" s="288">
        <v>18</v>
      </c>
      <c r="BH206" s="286">
        <v>17.5</v>
      </c>
      <c r="BI206" s="287"/>
      <c r="BJ206" s="287"/>
      <c r="BK206" s="287"/>
      <c r="BL206" s="287"/>
      <c r="BM206" s="287"/>
      <c r="BN206" s="287"/>
      <c r="BO206" s="287"/>
      <c r="BP206" s="287"/>
      <c r="BQ206" s="287"/>
      <c r="BR206" s="287"/>
      <c r="BS206" s="287"/>
      <c r="BT206" s="287"/>
      <c r="BU206" s="287">
        <v>20</v>
      </c>
      <c r="BV206" s="287"/>
      <c r="BW206" s="287"/>
      <c r="BX206" s="286">
        <v>17.5</v>
      </c>
      <c r="BY206" s="289"/>
      <c r="BZ206" s="289"/>
      <c r="CA206" s="289"/>
      <c r="CB206" s="289">
        <v>20</v>
      </c>
      <c r="CC206" s="289"/>
      <c r="CD206" s="289"/>
      <c r="CE206" s="289"/>
      <c r="CF206" s="289"/>
      <c r="CG206" s="287"/>
      <c r="CH206" s="287"/>
      <c r="CI206" s="287"/>
      <c r="CJ206" s="287"/>
      <c r="CK206" s="287"/>
      <c r="CL206" s="287"/>
      <c r="CM206" s="287">
        <v>17.5</v>
      </c>
      <c r="CN206" s="292">
        <v>17.5</v>
      </c>
      <c r="CO206" s="292">
        <v>17.5</v>
      </c>
      <c r="CP206" s="287"/>
      <c r="CQ206" s="287">
        <v>17.5</v>
      </c>
      <c r="CR206" s="292">
        <v>17.5</v>
      </c>
      <c r="CS206" s="6"/>
      <c r="CT206" s="6"/>
      <c r="CU206" s="6"/>
      <c r="CV206" s="6"/>
      <c r="CW206" s="6"/>
      <c r="CX206" s="6"/>
      <c r="CY206" s="6"/>
      <c r="CZ206" s="6"/>
      <c r="DA206" s="343">
        <f t="shared" si="6"/>
        <v>12.75</v>
      </c>
    </row>
    <row r="207" spans="1:105" ht="20" customHeight="1" x14ac:dyDescent="0.35">
      <c r="A207" s="301"/>
      <c r="B207" s="270" t="s">
        <v>818</v>
      </c>
      <c r="C207" s="270" t="s">
        <v>1611</v>
      </c>
      <c r="D207" s="270"/>
      <c r="E207" s="270" t="s">
        <v>34</v>
      </c>
      <c r="F207" s="270" t="s">
        <v>1812</v>
      </c>
      <c r="G207" s="270" t="s">
        <v>39</v>
      </c>
      <c r="H207" s="298">
        <f>H205/25*2.5</f>
        <v>6.375</v>
      </c>
      <c r="I207" s="286"/>
      <c r="J207" s="286"/>
      <c r="K207" s="286"/>
      <c r="L207" s="286"/>
      <c r="M207" s="286"/>
      <c r="N207" s="286"/>
      <c r="O207" s="286"/>
      <c r="P207" s="286"/>
      <c r="Q207" s="286"/>
      <c r="R207" s="286"/>
      <c r="S207" s="286"/>
      <c r="T207" s="286"/>
      <c r="U207" s="286"/>
      <c r="V207" s="294"/>
      <c r="W207" s="286"/>
      <c r="X207" s="286"/>
      <c r="Y207" s="286"/>
      <c r="Z207" s="286"/>
      <c r="AA207" s="286"/>
      <c r="AB207" s="286"/>
      <c r="AC207" s="286"/>
      <c r="AD207" s="286"/>
      <c r="AE207" s="286"/>
      <c r="AF207" s="286"/>
      <c r="AG207" s="286"/>
      <c r="AH207" s="286"/>
      <c r="AI207" s="286"/>
      <c r="AJ207" s="286"/>
      <c r="AK207" s="287"/>
      <c r="AL207" s="288"/>
      <c r="AM207" s="287"/>
      <c r="AN207" s="287"/>
      <c r="AO207" s="286"/>
      <c r="AP207" s="286"/>
      <c r="AQ207" s="296"/>
      <c r="AR207" s="286"/>
      <c r="AS207" s="286"/>
      <c r="AT207" s="286"/>
      <c r="AU207" s="286"/>
      <c r="AV207" s="286"/>
      <c r="AW207" s="286"/>
      <c r="AX207" s="286"/>
      <c r="AY207" s="286"/>
      <c r="AZ207" s="286"/>
      <c r="BA207" s="286"/>
      <c r="BB207" s="286"/>
      <c r="BC207" s="286"/>
      <c r="BD207" s="287"/>
      <c r="BE207" s="287"/>
      <c r="BF207" s="287"/>
      <c r="BG207" s="287"/>
      <c r="BH207" s="287"/>
      <c r="BI207" s="287"/>
      <c r="BJ207" s="287"/>
      <c r="BK207" s="287"/>
      <c r="BL207" s="287"/>
      <c r="BM207" s="287"/>
      <c r="BN207" s="287"/>
      <c r="BO207" s="287"/>
      <c r="BP207" s="287"/>
      <c r="BQ207" s="287"/>
      <c r="BR207" s="287"/>
      <c r="BS207" s="287"/>
      <c r="BT207" s="287"/>
      <c r="BU207" s="287"/>
      <c r="BV207" s="287"/>
      <c r="BW207" s="287"/>
      <c r="BX207" s="286"/>
      <c r="BY207" s="289"/>
      <c r="BZ207" s="289"/>
      <c r="CA207" s="289"/>
      <c r="CB207" s="289"/>
      <c r="CC207" s="289"/>
      <c r="CD207" s="289"/>
      <c r="CE207" s="289"/>
      <c r="CF207" s="289"/>
      <c r="CG207" s="287"/>
      <c r="CH207" s="287"/>
      <c r="CI207" s="287"/>
      <c r="CJ207" s="287"/>
      <c r="CK207" s="287"/>
      <c r="CL207" s="287"/>
      <c r="CM207" s="287"/>
      <c r="CN207" s="287"/>
      <c r="CO207" s="287"/>
      <c r="CP207" s="287"/>
      <c r="CQ207" s="287"/>
      <c r="CR207" s="287"/>
      <c r="CS207" s="6"/>
      <c r="CT207" s="6"/>
      <c r="CU207" s="6"/>
      <c r="CV207" s="6"/>
      <c r="CW207" s="6"/>
      <c r="CX207" s="6"/>
      <c r="CY207" s="6"/>
      <c r="CZ207" s="6"/>
      <c r="DA207" s="343">
        <f t="shared" si="6"/>
        <v>6.375</v>
      </c>
    </row>
    <row r="208" spans="1:105" ht="20" customHeight="1" x14ac:dyDescent="0.35">
      <c r="A208" s="301"/>
      <c r="B208" s="270" t="s">
        <v>1142</v>
      </c>
      <c r="C208" s="270" t="s">
        <v>1611</v>
      </c>
      <c r="D208" s="270"/>
      <c r="E208" s="270" t="s">
        <v>34</v>
      </c>
      <c r="F208" s="270" t="s">
        <v>62</v>
      </c>
      <c r="G208" s="270" t="s">
        <v>39</v>
      </c>
      <c r="H208" s="298">
        <f>H205/25</f>
        <v>2.5499999999999998</v>
      </c>
      <c r="I208" s="286"/>
      <c r="J208" s="286"/>
      <c r="K208" s="286"/>
      <c r="L208" s="286"/>
      <c r="M208" s="286"/>
      <c r="N208" s="286"/>
      <c r="O208" s="286"/>
      <c r="P208" s="286"/>
      <c r="Q208" s="286"/>
      <c r="R208" s="286"/>
      <c r="S208" s="286"/>
      <c r="T208" s="286"/>
      <c r="U208" s="286"/>
      <c r="V208" s="294"/>
      <c r="W208" s="286"/>
      <c r="X208" s="286"/>
      <c r="Y208" s="286"/>
      <c r="Z208" s="286"/>
      <c r="AA208" s="286"/>
      <c r="AB208" s="286"/>
      <c r="AC208" s="286"/>
      <c r="AD208" s="286"/>
      <c r="AE208" s="286"/>
      <c r="AF208" s="286"/>
      <c r="AG208" s="286"/>
      <c r="AH208" s="286"/>
      <c r="AI208" s="286"/>
      <c r="AJ208" s="286"/>
      <c r="AK208" s="287"/>
      <c r="AL208" s="288"/>
      <c r="AM208" s="287"/>
      <c r="AN208" s="287"/>
      <c r="AO208" s="286"/>
      <c r="AP208" s="286"/>
      <c r="AQ208" s="296"/>
      <c r="AR208" s="286"/>
      <c r="AS208" s="286"/>
      <c r="AT208" s="286"/>
      <c r="AU208" s="286"/>
      <c r="AV208" s="286"/>
      <c r="AW208" s="286"/>
      <c r="AX208" s="286"/>
      <c r="AY208" s="286"/>
      <c r="AZ208" s="286"/>
      <c r="BA208" s="286"/>
      <c r="BB208" s="286"/>
      <c r="BC208" s="286"/>
      <c r="BD208" s="287"/>
      <c r="BE208" s="287"/>
      <c r="BF208" s="287"/>
      <c r="BG208" s="287"/>
      <c r="BH208" s="287"/>
      <c r="BI208" s="287"/>
      <c r="BJ208" s="287"/>
      <c r="BK208" s="287"/>
      <c r="BL208" s="287"/>
      <c r="BM208" s="287"/>
      <c r="BN208" s="287"/>
      <c r="BO208" s="287"/>
      <c r="BP208" s="287"/>
      <c r="BQ208" s="287"/>
      <c r="BR208" s="287"/>
      <c r="BS208" s="287"/>
      <c r="BT208" s="287"/>
      <c r="BU208" s="287"/>
      <c r="BV208" s="287"/>
      <c r="BW208" s="287"/>
      <c r="BX208" s="286"/>
      <c r="BY208" s="289"/>
      <c r="BZ208" s="289"/>
      <c r="CA208" s="289"/>
      <c r="CB208" s="289"/>
      <c r="CC208" s="289"/>
      <c r="CD208" s="289"/>
      <c r="CE208" s="289"/>
      <c r="CF208" s="289"/>
      <c r="CG208" s="287"/>
      <c r="CH208" s="287"/>
      <c r="CI208" s="287"/>
      <c r="CJ208" s="287"/>
      <c r="CK208" s="287"/>
      <c r="CL208" s="287"/>
      <c r="CM208" s="287"/>
      <c r="CN208" s="287"/>
      <c r="CO208" s="287"/>
      <c r="CP208" s="287"/>
      <c r="CQ208" s="287"/>
      <c r="CR208" s="287"/>
      <c r="CS208" s="6"/>
      <c r="CT208" s="6"/>
      <c r="CU208" s="6"/>
      <c r="CV208" s="6"/>
      <c r="CW208" s="6"/>
      <c r="CX208" s="6"/>
      <c r="CY208" s="6"/>
      <c r="CZ208" s="6"/>
      <c r="DA208" s="343">
        <f t="shared" si="6"/>
        <v>2.5499999999999998</v>
      </c>
    </row>
    <row r="209" spans="1:105" ht="20" customHeight="1" x14ac:dyDescent="0.35">
      <c r="A209" s="301"/>
      <c r="B209" s="270" t="s">
        <v>819</v>
      </c>
      <c r="C209" s="270" t="s">
        <v>2089</v>
      </c>
      <c r="D209" s="270"/>
      <c r="E209" s="270" t="s">
        <v>34</v>
      </c>
      <c r="F209" s="270" t="s">
        <v>422</v>
      </c>
      <c r="G209" s="270" t="s">
        <v>39</v>
      </c>
      <c r="H209" s="298">
        <v>87.5</v>
      </c>
      <c r="I209" s="286"/>
      <c r="J209" s="286"/>
      <c r="K209" s="286"/>
      <c r="L209" s="286"/>
      <c r="M209" s="286"/>
      <c r="N209" s="286"/>
      <c r="O209" s="286"/>
      <c r="P209" s="286"/>
      <c r="Q209" s="286"/>
      <c r="R209" s="286"/>
      <c r="S209" s="286"/>
      <c r="T209" s="286"/>
      <c r="U209" s="286"/>
      <c r="V209" s="294"/>
      <c r="W209" s="286"/>
      <c r="X209" s="286"/>
      <c r="Y209" s="286"/>
      <c r="Z209" s="286"/>
      <c r="AA209" s="286"/>
      <c r="AB209" s="286"/>
      <c r="AC209" s="286"/>
      <c r="AD209" s="286"/>
      <c r="AE209" s="286"/>
      <c r="AF209" s="286"/>
      <c r="AG209" s="286"/>
      <c r="AH209" s="286"/>
      <c r="AI209" s="286"/>
      <c r="AJ209" s="286"/>
      <c r="AK209" s="287"/>
      <c r="AL209" s="288"/>
      <c r="AM209" s="287"/>
      <c r="AN209" s="287"/>
      <c r="AO209" s="286"/>
      <c r="AP209" s="286"/>
      <c r="AQ209" s="296"/>
      <c r="AR209" s="286"/>
      <c r="AS209" s="286"/>
      <c r="AT209" s="286"/>
      <c r="AU209" s="286"/>
      <c r="AV209" s="286"/>
      <c r="AW209" s="286"/>
      <c r="AX209" s="286"/>
      <c r="AY209" s="286"/>
      <c r="AZ209" s="286"/>
      <c r="BA209" s="286"/>
      <c r="BB209" s="286"/>
      <c r="BC209" s="286"/>
      <c r="BD209" s="287"/>
      <c r="BE209" s="287"/>
      <c r="BF209" s="287"/>
      <c r="BG209" s="287"/>
      <c r="BH209" s="287"/>
      <c r="BI209" s="287"/>
      <c r="BJ209" s="287"/>
      <c r="BK209" s="287"/>
      <c r="BL209" s="287"/>
      <c r="BM209" s="287"/>
      <c r="BN209" s="287"/>
      <c r="BO209" s="287"/>
      <c r="BP209" s="287"/>
      <c r="BQ209" s="287"/>
      <c r="BR209" s="287"/>
      <c r="BS209" s="287"/>
      <c r="BT209" s="287"/>
      <c r="BU209" s="287"/>
      <c r="BV209" s="287"/>
      <c r="BW209" s="287"/>
      <c r="BX209" s="286"/>
      <c r="BY209" s="289"/>
      <c r="BZ209" s="289"/>
      <c r="CA209" s="289"/>
      <c r="CB209" s="289"/>
      <c r="CC209" s="289"/>
      <c r="CD209" s="289"/>
      <c r="CE209" s="289"/>
      <c r="CF209" s="289"/>
      <c r="CG209" s="287"/>
      <c r="CH209" s="287"/>
      <c r="CI209" s="287"/>
      <c r="CJ209" s="287"/>
      <c r="CK209" s="287"/>
      <c r="CL209" s="287"/>
      <c r="CM209" s="287"/>
      <c r="CN209" s="287"/>
      <c r="CO209" s="287"/>
      <c r="CP209" s="287"/>
      <c r="CQ209" s="287"/>
      <c r="CR209" s="287"/>
      <c r="CS209" s="6"/>
      <c r="CT209" s="6"/>
      <c r="CU209" s="6"/>
      <c r="CV209" s="6"/>
      <c r="CW209" s="6"/>
      <c r="CX209" s="6"/>
      <c r="CY209" s="6"/>
      <c r="CZ209" s="6"/>
      <c r="DA209" s="343">
        <f t="shared" si="6"/>
        <v>87.5</v>
      </c>
    </row>
    <row r="210" spans="1:105" ht="20" customHeight="1" x14ac:dyDescent="0.35">
      <c r="A210" s="301"/>
      <c r="B210" s="270" t="s">
        <v>820</v>
      </c>
      <c r="C210" s="270" t="s">
        <v>2089</v>
      </c>
      <c r="D210" s="270"/>
      <c r="E210" s="270" t="s">
        <v>34</v>
      </c>
      <c r="F210" s="270" t="s">
        <v>613</v>
      </c>
      <c r="G210" s="270" t="s">
        <v>39</v>
      </c>
      <c r="H210" s="298">
        <f>H209/25*5</f>
        <v>17.5</v>
      </c>
      <c r="I210" s="286">
        <v>0</v>
      </c>
      <c r="J210" s="286"/>
      <c r="K210" s="286"/>
      <c r="L210" s="286"/>
      <c r="M210" s="286"/>
      <c r="N210" s="286"/>
      <c r="O210" s="286">
        <v>22</v>
      </c>
      <c r="P210" s="286"/>
      <c r="Q210" s="286"/>
      <c r="R210" s="286"/>
      <c r="S210" s="286"/>
      <c r="T210" s="286"/>
      <c r="U210" s="286"/>
      <c r="V210" s="286"/>
      <c r="W210" s="286"/>
      <c r="X210" s="286"/>
      <c r="Y210" s="286"/>
      <c r="Z210" s="286"/>
      <c r="AA210" s="286"/>
      <c r="AB210" s="286"/>
      <c r="AC210" s="286"/>
      <c r="AD210" s="286"/>
      <c r="AE210" s="286"/>
      <c r="AF210" s="286"/>
      <c r="AG210" s="286"/>
      <c r="AH210" s="286"/>
      <c r="AI210" s="286"/>
      <c r="AJ210" s="286"/>
      <c r="AK210" s="287">
        <v>19</v>
      </c>
      <c r="AL210" s="288"/>
      <c r="AM210" s="287"/>
      <c r="AN210" s="287"/>
      <c r="AO210" s="287"/>
      <c r="AP210" s="286"/>
      <c r="AQ210" s="296"/>
      <c r="AR210" s="286"/>
      <c r="AS210" s="286"/>
      <c r="AT210" s="286"/>
      <c r="AU210" s="286"/>
      <c r="AV210" s="286"/>
      <c r="AW210" s="286"/>
      <c r="AX210" s="286"/>
      <c r="AY210" s="286"/>
      <c r="AZ210" s="286"/>
      <c r="BA210" s="286"/>
      <c r="BB210" s="286"/>
      <c r="BC210" s="286"/>
      <c r="BD210" s="287"/>
      <c r="BE210" s="287"/>
      <c r="BF210" s="287"/>
      <c r="BG210" s="287"/>
      <c r="BH210" s="287"/>
      <c r="BI210" s="287"/>
      <c r="BJ210" s="287"/>
      <c r="BK210" s="287"/>
      <c r="BL210" s="287"/>
      <c r="BM210" s="287"/>
      <c r="BN210" s="287"/>
      <c r="BO210" s="287"/>
      <c r="BP210" s="287"/>
      <c r="BQ210" s="287"/>
      <c r="BR210" s="287"/>
      <c r="BS210" s="287"/>
      <c r="BT210" s="287"/>
      <c r="BU210" s="287"/>
      <c r="BV210" s="287"/>
      <c r="BW210" s="287"/>
      <c r="BX210" s="286"/>
      <c r="BY210" s="289"/>
      <c r="BZ210" s="289"/>
      <c r="CA210" s="289"/>
      <c r="CB210" s="289"/>
      <c r="CC210" s="289"/>
      <c r="CD210" s="289"/>
      <c r="CE210" s="289"/>
      <c r="CF210" s="289"/>
      <c r="CG210" s="287"/>
      <c r="CH210" s="287"/>
      <c r="CI210" s="287"/>
      <c r="CJ210" s="287"/>
      <c r="CK210" s="287"/>
      <c r="CL210" s="287"/>
      <c r="CM210" s="287"/>
      <c r="CN210" s="287"/>
      <c r="CO210" s="287"/>
      <c r="CP210" s="287"/>
      <c r="CQ210" s="287"/>
      <c r="CR210" s="287"/>
      <c r="CS210" s="6"/>
      <c r="CT210" s="6"/>
      <c r="CU210" s="6"/>
      <c r="CV210" s="6"/>
      <c r="CW210" s="6"/>
      <c r="CX210" s="6"/>
      <c r="CY210" s="6"/>
      <c r="CZ210" s="6"/>
      <c r="DA210" s="343">
        <f t="shared" si="6"/>
        <v>17.5</v>
      </c>
    </row>
    <row r="211" spans="1:105" ht="20" customHeight="1" x14ac:dyDescent="0.35">
      <c r="A211" s="301"/>
      <c r="B211" s="270" t="s">
        <v>1243</v>
      </c>
      <c r="C211" s="270" t="s">
        <v>2089</v>
      </c>
      <c r="D211" s="270"/>
      <c r="E211" s="270" t="s">
        <v>34</v>
      </c>
      <c r="F211" s="270" t="s">
        <v>613</v>
      </c>
      <c r="G211" s="270" t="s">
        <v>39</v>
      </c>
      <c r="H211" s="298">
        <f>H209/25*5</f>
        <v>17.5</v>
      </c>
      <c r="I211" s="286"/>
      <c r="J211" s="286"/>
      <c r="K211" s="286"/>
      <c r="L211" s="286"/>
      <c r="M211" s="286"/>
      <c r="N211" s="286"/>
      <c r="O211" s="286">
        <v>20.5</v>
      </c>
      <c r="P211" s="28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  <c r="AA211" s="286"/>
      <c r="AB211" s="286"/>
      <c r="AC211" s="286"/>
      <c r="AD211" s="286"/>
      <c r="AE211" s="286"/>
      <c r="AF211" s="286"/>
      <c r="AG211" s="286"/>
      <c r="AH211" s="286"/>
      <c r="AI211" s="286"/>
      <c r="AJ211" s="286"/>
      <c r="AK211" s="287"/>
      <c r="AL211" s="288"/>
      <c r="AM211" s="287"/>
      <c r="AN211" s="287"/>
      <c r="AO211" s="287"/>
      <c r="AP211" s="286"/>
      <c r="AQ211" s="296"/>
      <c r="AR211" s="286"/>
      <c r="AS211" s="286"/>
      <c r="AT211" s="286"/>
      <c r="AU211" s="286"/>
      <c r="AV211" s="286"/>
      <c r="AW211" s="286"/>
      <c r="AX211" s="286"/>
      <c r="AY211" s="286"/>
      <c r="AZ211" s="286"/>
      <c r="BA211" s="286"/>
      <c r="BB211" s="286"/>
      <c r="BC211" s="286"/>
      <c r="BD211" s="287"/>
      <c r="BE211" s="287"/>
      <c r="BF211" s="287"/>
      <c r="BG211" s="287"/>
      <c r="BH211" s="287"/>
      <c r="BI211" s="287"/>
      <c r="BJ211" s="287"/>
      <c r="BK211" s="287"/>
      <c r="BL211" s="287"/>
      <c r="BM211" s="287"/>
      <c r="BN211" s="287"/>
      <c r="BO211" s="287"/>
      <c r="BP211" s="287"/>
      <c r="BQ211" s="287"/>
      <c r="BR211" s="287"/>
      <c r="BS211" s="287"/>
      <c r="BT211" s="287"/>
      <c r="BU211" s="287"/>
      <c r="BV211" s="287"/>
      <c r="BW211" s="287"/>
      <c r="BX211" s="286"/>
      <c r="BY211" s="289"/>
      <c r="BZ211" s="289"/>
      <c r="CA211" s="289"/>
      <c r="CB211" s="289"/>
      <c r="CC211" s="289"/>
      <c r="CD211" s="289"/>
      <c r="CE211" s="289"/>
      <c r="CF211" s="289"/>
      <c r="CG211" s="287"/>
      <c r="CH211" s="287"/>
      <c r="CI211" s="287"/>
      <c r="CJ211" s="287"/>
      <c r="CK211" s="287"/>
      <c r="CL211" s="287"/>
      <c r="CM211" s="287"/>
      <c r="CN211" s="287"/>
      <c r="CO211" s="287"/>
      <c r="CP211" s="287"/>
      <c r="CQ211" s="287"/>
      <c r="CR211" s="287"/>
      <c r="CS211" s="6"/>
      <c r="CT211" s="6"/>
      <c r="CU211" s="6"/>
      <c r="CV211" s="6"/>
      <c r="CW211" s="6"/>
      <c r="CX211" s="6"/>
      <c r="CY211" s="6"/>
      <c r="CZ211" s="6"/>
      <c r="DA211" s="343">
        <f t="shared" si="6"/>
        <v>17.5</v>
      </c>
    </row>
    <row r="212" spans="1:105" ht="20" customHeight="1" x14ac:dyDescent="0.35">
      <c r="A212" s="301"/>
      <c r="B212" s="270" t="s">
        <v>821</v>
      </c>
      <c r="C212" s="270" t="s">
        <v>1612</v>
      </c>
      <c r="D212" s="270" t="s">
        <v>630</v>
      </c>
      <c r="E212" s="270" t="s">
        <v>34</v>
      </c>
      <c r="F212" s="270" t="s">
        <v>422</v>
      </c>
      <c r="G212" s="270" t="s">
        <v>39</v>
      </c>
      <c r="H212" s="349">
        <v>57.5</v>
      </c>
      <c r="I212" s="286"/>
      <c r="J212" s="286"/>
      <c r="K212" s="286"/>
      <c r="L212" s="286"/>
      <c r="M212" s="286"/>
      <c r="N212" s="286"/>
      <c r="O212" s="286"/>
      <c r="P212" s="286"/>
      <c r="Q212" s="286"/>
      <c r="R212" s="286"/>
      <c r="S212" s="286"/>
      <c r="T212" s="286"/>
      <c r="U212" s="286"/>
      <c r="V212" s="294"/>
      <c r="W212" s="286"/>
      <c r="X212" s="286"/>
      <c r="Y212" s="286"/>
      <c r="Z212" s="286"/>
      <c r="AA212" s="286"/>
      <c r="AB212" s="286"/>
      <c r="AC212" s="286">
        <v>65</v>
      </c>
      <c r="AD212" s="286"/>
      <c r="AE212" s="286"/>
      <c r="AF212" s="286"/>
      <c r="AG212" s="286"/>
      <c r="AH212" s="286"/>
      <c r="AI212" s="286"/>
      <c r="AJ212" s="286"/>
      <c r="AK212" s="295"/>
      <c r="AL212" s="288"/>
      <c r="AM212" s="287"/>
      <c r="AN212" s="287"/>
      <c r="AO212" s="287"/>
      <c r="AP212" s="286"/>
      <c r="AQ212" s="296"/>
      <c r="AR212" s="286"/>
      <c r="AS212" s="286"/>
      <c r="AT212" s="286"/>
      <c r="AU212" s="286"/>
      <c r="AV212" s="286"/>
      <c r="AW212" s="286"/>
      <c r="AX212" s="286"/>
      <c r="AY212" s="286"/>
      <c r="AZ212" s="286"/>
      <c r="BA212" s="286"/>
      <c r="BB212" s="286"/>
      <c r="BC212" s="286"/>
      <c r="BD212" s="287"/>
      <c r="BE212" s="287"/>
      <c r="BF212" s="287"/>
      <c r="BG212" s="287"/>
      <c r="BH212" s="287"/>
      <c r="BI212" s="287"/>
      <c r="BJ212" s="287"/>
      <c r="BK212" s="287"/>
      <c r="BL212" s="287"/>
      <c r="BM212" s="287"/>
      <c r="BN212" s="287"/>
      <c r="BO212" s="287"/>
      <c r="BP212" s="287"/>
      <c r="BQ212" s="287"/>
      <c r="BR212" s="287"/>
      <c r="BS212" s="287"/>
      <c r="BT212" s="287"/>
      <c r="BU212" s="287"/>
      <c r="BV212" s="287"/>
      <c r="BW212" s="287"/>
      <c r="BX212" s="286"/>
      <c r="BY212" s="289"/>
      <c r="BZ212" s="289"/>
      <c r="CA212" s="289"/>
      <c r="CB212" s="289"/>
      <c r="CC212" s="289"/>
      <c r="CD212" s="289"/>
      <c r="CE212" s="289"/>
      <c r="CF212" s="289"/>
      <c r="CG212" s="287"/>
      <c r="CH212" s="287"/>
      <c r="CI212" s="287"/>
      <c r="CJ212" s="287"/>
      <c r="CK212" s="287"/>
      <c r="CL212" s="287"/>
      <c r="CM212" s="287"/>
      <c r="CN212" s="287"/>
      <c r="CO212" s="287"/>
      <c r="CP212" s="287"/>
      <c r="CQ212" s="287"/>
      <c r="CR212" s="287"/>
      <c r="CS212" s="6"/>
      <c r="CT212" s="6"/>
      <c r="CU212" s="6"/>
      <c r="CV212" s="6"/>
      <c r="CW212" s="6"/>
      <c r="CX212" s="6"/>
      <c r="CY212" s="6"/>
      <c r="CZ212" s="6"/>
      <c r="DA212" s="343">
        <f t="shared" si="6"/>
        <v>57.5</v>
      </c>
    </row>
    <row r="213" spans="1:105" ht="20" customHeight="1" x14ac:dyDescent="0.35">
      <c r="A213" s="301"/>
      <c r="B213" s="270" t="s">
        <v>822</v>
      </c>
      <c r="C213" s="270" t="s">
        <v>1612</v>
      </c>
      <c r="D213" s="270" t="s">
        <v>630</v>
      </c>
      <c r="E213" s="270" t="s">
        <v>34</v>
      </c>
      <c r="F213" s="270" t="s">
        <v>613</v>
      </c>
      <c r="G213" s="270" t="s">
        <v>39</v>
      </c>
      <c r="H213" s="298">
        <f>H212/25*5</f>
        <v>11.5</v>
      </c>
      <c r="I213" s="286">
        <v>0</v>
      </c>
      <c r="J213" s="286"/>
      <c r="K213" s="286"/>
      <c r="L213" s="286"/>
      <c r="M213" s="286"/>
      <c r="N213" s="292">
        <v>18</v>
      </c>
      <c r="O213" s="286">
        <v>18</v>
      </c>
      <c r="P213" s="292">
        <v>18</v>
      </c>
      <c r="Q213" s="286">
        <v>18</v>
      </c>
      <c r="R213" s="286">
        <v>18</v>
      </c>
      <c r="S213" s="286"/>
      <c r="T213" s="286"/>
      <c r="U213" s="286"/>
      <c r="V213" s="294"/>
      <c r="W213" s="286"/>
      <c r="X213" s="286"/>
      <c r="Y213" s="286"/>
      <c r="Z213" s="286"/>
      <c r="AA213" s="286"/>
      <c r="AB213" s="286"/>
      <c r="AC213" s="286">
        <v>18</v>
      </c>
      <c r="AD213" s="286"/>
      <c r="AE213" s="286"/>
      <c r="AF213" s="286"/>
      <c r="AG213" s="286"/>
      <c r="AH213" s="286"/>
      <c r="AI213" s="286"/>
      <c r="AJ213" s="286"/>
      <c r="AK213" s="287"/>
      <c r="AL213" s="288"/>
      <c r="AM213" s="287"/>
      <c r="AN213" s="287"/>
      <c r="AO213" s="287"/>
      <c r="AP213" s="286"/>
      <c r="AQ213" s="296">
        <v>17</v>
      </c>
      <c r="AR213" s="286"/>
      <c r="AS213" s="286"/>
      <c r="AT213" s="286"/>
      <c r="AU213" s="286"/>
      <c r="AV213" s="286"/>
      <c r="AW213" s="286"/>
      <c r="AX213" s="286"/>
      <c r="AY213" s="286"/>
      <c r="AZ213" s="286"/>
      <c r="BA213" s="286"/>
      <c r="BB213" s="286"/>
      <c r="BC213" s="286"/>
      <c r="BD213" s="287"/>
      <c r="BE213" s="287"/>
      <c r="BF213" s="287"/>
      <c r="BG213" s="288">
        <v>18</v>
      </c>
      <c r="BH213" s="287"/>
      <c r="BI213" s="287"/>
      <c r="BJ213" s="287"/>
      <c r="BK213" s="287">
        <v>19</v>
      </c>
      <c r="BL213" s="287"/>
      <c r="BM213" s="287"/>
      <c r="BN213" s="287"/>
      <c r="BO213" s="287"/>
      <c r="BP213" s="287"/>
      <c r="BQ213" s="287"/>
      <c r="BR213" s="287"/>
      <c r="BS213" s="287"/>
      <c r="BT213" s="287"/>
      <c r="BU213" s="287"/>
      <c r="BV213" s="287"/>
      <c r="BW213" s="287"/>
      <c r="BX213" s="286"/>
      <c r="BY213" s="289"/>
      <c r="BZ213" s="289"/>
      <c r="CA213" s="289"/>
      <c r="CB213" s="289"/>
      <c r="CC213" s="289"/>
      <c r="CD213" s="289"/>
      <c r="CE213" s="289"/>
      <c r="CF213" s="289"/>
      <c r="CG213" s="287"/>
      <c r="CH213" s="287"/>
      <c r="CI213" s="287"/>
      <c r="CJ213" s="287"/>
      <c r="CK213" s="287"/>
      <c r="CL213" s="287"/>
      <c r="CM213" s="287"/>
      <c r="CN213" s="287"/>
      <c r="CO213" s="287"/>
      <c r="CP213" s="287"/>
      <c r="CQ213" s="287"/>
      <c r="CR213" s="287"/>
      <c r="CS213" s="6"/>
      <c r="CT213" s="6"/>
      <c r="CU213" s="6"/>
      <c r="CV213" s="6"/>
      <c r="CW213" s="6"/>
      <c r="CX213" s="6"/>
      <c r="CY213" s="6"/>
      <c r="CZ213" s="6"/>
      <c r="DA213" s="343">
        <f t="shared" si="6"/>
        <v>11.5</v>
      </c>
    </row>
    <row r="214" spans="1:105" ht="20" customHeight="1" x14ac:dyDescent="0.35">
      <c r="A214" s="301"/>
      <c r="B214" s="270" t="s">
        <v>823</v>
      </c>
      <c r="C214" s="270"/>
      <c r="D214" s="270"/>
      <c r="E214" s="270"/>
      <c r="F214" s="270"/>
      <c r="G214" s="270"/>
      <c r="H214" s="298"/>
      <c r="I214" s="286"/>
      <c r="J214" s="286"/>
      <c r="K214" s="286"/>
      <c r="L214" s="286"/>
      <c r="M214" s="286"/>
      <c r="N214" s="286"/>
      <c r="O214" s="286"/>
      <c r="P214" s="286"/>
      <c r="Q214" s="286"/>
      <c r="R214" s="286"/>
      <c r="S214" s="286"/>
      <c r="T214" s="286"/>
      <c r="U214" s="286"/>
      <c r="V214" s="294"/>
      <c r="W214" s="286"/>
      <c r="X214" s="286"/>
      <c r="Y214" s="286"/>
      <c r="Z214" s="286"/>
      <c r="AA214" s="286"/>
      <c r="AB214" s="286"/>
      <c r="AC214" s="286"/>
      <c r="AD214" s="286"/>
      <c r="AE214" s="286"/>
      <c r="AF214" s="286"/>
      <c r="AG214" s="286"/>
      <c r="AH214" s="286"/>
      <c r="AI214" s="286"/>
      <c r="AJ214" s="286"/>
      <c r="AK214" s="287"/>
      <c r="AL214" s="288"/>
      <c r="AM214" s="287"/>
      <c r="AN214" s="287"/>
      <c r="AO214" s="287"/>
      <c r="AP214" s="286"/>
      <c r="AQ214" s="296"/>
      <c r="AR214" s="286"/>
      <c r="AS214" s="286"/>
      <c r="AT214" s="286"/>
      <c r="AU214" s="286"/>
      <c r="AV214" s="286"/>
      <c r="AW214" s="286"/>
      <c r="AX214" s="286"/>
      <c r="AY214" s="286"/>
      <c r="AZ214" s="286"/>
      <c r="BA214" s="286"/>
      <c r="BB214" s="286"/>
      <c r="BC214" s="286"/>
      <c r="BD214" s="287"/>
      <c r="BE214" s="287"/>
      <c r="BF214" s="287"/>
      <c r="BG214" s="287"/>
      <c r="BH214" s="287"/>
      <c r="BI214" s="287"/>
      <c r="BJ214" s="287"/>
      <c r="BK214" s="287"/>
      <c r="BL214" s="287"/>
      <c r="BM214" s="287"/>
      <c r="BN214" s="287"/>
      <c r="BO214" s="287"/>
      <c r="BP214" s="287"/>
      <c r="BQ214" s="287"/>
      <c r="BR214" s="287"/>
      <c r="BS214" s="287"/>
      <c r="BT214" s="287"/>
      <c r="BU214" s="287"/>
      <c r="BV214" s="287"/>
      <c r="BW214" s="287"/>
      <c r="BX214" s="286"/>
      <c r="BY214" s="289"/>
      <c r="BZ214" s="289"/>
      <c r="CA214" s="289"/>
      <c r="CB214" s="289"/>
      <c r="CC214" s="289"/>
      <c r="CD214" s="289"/>
      <c r="CE214" s="289"/>
      <c r="CF214" s="289"/>
      <c r="CG214" s="287"/>
      <c r="CH214" s="287"/>
      <c r="CI214" s="287"/>
      <c r="CJ214" s="287"/>
      <c r="CK214" s="287"/>
      <c r="CL214" s="287"/>
      <c r="CM214" s="287"/>
      <c r="CN214" s="287"/>
      <c r="CO214" s="287"/>
      <c r="CP214" s="287"/>
      <c r="CQ214" s="287"/>
      <c r="CR214" s="287"/>
      <c r="CS214" s="6"/>
      <c r="CT214" s="6"/>
      <c r="CU214" s="6"/>
      <c r="CV214" s="6"/>
      <c r="CW214" s="6"/>
      <c r="CX214" s="6"/>
      <c r="CY214" s="6"/>
      <c r="CZ214" s="6"/>
      <c r="DA214" s="343">
        <f t="shared" si="6"/>
        <v>0</v>
      </c>
    </row>
    <row r="215" spans="1:105" ht="20" customHeight="1" x14ac:dyDescent="0.35">
      <c r="A215" s="317">
        <v>4000005590</v>
      </c>
      <c r="B215" s="270" t="s">
        <v>824</v>
      </c>
      <c r="C215" s="270" t="s">
        <v>226</v>
      </c>
      <c r="D215" s="270" t="s">
        <v>634</v>
      </c>
      <c r="E215" s="270" t="s">
        <v>34</v>
      </c>
      <c r="F215" s="270" t="s">
        <v>422</v>
      </c>
      <c r="G215" s="270" t="s">
        <v>39</v>
      </c>
      <c r="H215" s="349">
        <f>1.75*25</f>
        <v>43.75</v>
      </c>
      <c r="I215" s="286"/>
      <c r="J215" s="292">
        <v>57</v>
      </c>
      <c r="K215" s="286">
        <v>55</v>
      </c>
      <c r="L215" s="286">
        <v>60</v>
      </c>
      <c r="M215" s="286"/>
      <c r="N215" s="286"/>
      <c r="O215" s="286">
        <v>55</v>
      </c>
      <c r="P215" s="286"/>
      <c r="Q215" s="286"/>
      <c r="R215" s="286"/>
      <c r="S215" s="286"/>
      <c r="T215" s="286"/>
      <c r="U215" s="286"/>
      <c r="V215" s="286"/>
      <c r="W215" s="286"/>
      <c r="X215" s="286"/>
      <c r="Y215" s="286"/>
      <c r="Z215" s="286"/>
      <c r="AA215" s="286"/>
      <c r="AB215" s="286"/>
      <c r="AC215" s="286">
        <v>60</v>
      </c>
      <c r="AD215" s="286"/>
      <c r="AE215" s="286"/>
      <c r="AF215" s="286"/>
      <c r="AG215" s="286"/>
      <c r="AH215" s="286"/>
      <c r="AI215" s="286"/>
      <c r="AJ215" s="286"/>
      <c r="AK215" s="287"/>
      <c r="AL215" s="288"/>
      <c r="AM215" s="287"/>
      <c r="AN215" s="287"/>
      <c r="AO215" s="287"/>
      <c r="AP215" s="286"/>
      <c r="AQ215" s="296"/>
      <c r="AR215" s="286"/>
      <c r="AS215" s="286"/>
      <c r="AT215" s="286"/>
      <c r="AU215" s="286"/>
      <c r="AV215" s="286"/>
      <c r="AW215" s="286"/>
      <c r="AX215" s="286"/>
      <c r="AY215" s="286"/>
      <c r="AZ215" s="286"/>
      <c r="BA215" s="286"/>
      <c r="BB215" s="286"/>
      <c r="BC215" s="286"/>
      <c r="BD215" s="287"/>
      <c r="BE215" s="287"/>
      <c r="BF215" s="287"/>
      <c r="BG215" s="288">
        <v>13</v>
      </c>
      <c r="BH215" s="287"/>
      <c r="BI215" s="287"/>
      <c r="BJ215" s="287"/>
      <c r="BK215" s="287"/>
      <c r="BL215" s="287"/>
      <c r="BM215" s="287"/>
      <c r="BN215" s="287"/>
      <c r="BO215" s="287"/>
      <c r="BP215" s="287"/>
      <c r="BQ215" s="287"/>
      <c r="BR215" s="287"/>
      <c r="BS215" s="287"/>
      <c r="BT215" s="287"/>
      <c r="BU215" s="287"/>
      <c r="BV215" s="287"/>
      <c r="BW215" s="287"/>
      <c r="BX215" s="286"/>
      <c r="BY215" s="289"/>
      <c r="BZ215" s="289"/>
      <c r="CA215" s="289"/>
      <c r="CB215" s="289"/>
      <c r="CC215" s="289"/>
      <c r="CD215" s="289"/>
      <c r="CE215" s="289"/>
      <c r="CF215" s="289"/>
      <c r="CG215" s="287"/>
      <c r="CH215" s="287"/>
      <c r="CI215" s="287"/>
      <c r="CJ215" s="287"/>
      <c r="CK215" s="287"/>
      <c r="CL215" s="287"/>
      <c r="CM215" s="287"/>
      <c r="CN215" s="287"/>
      <c r="CO215" s="287"/>
      <c r="CP215" s="287"/>
      <c r="CQ215" s="287"/>
      <c r="CR215" s="287"/>
      <c r="CS215" s="6"/>
      <c r="CT215" s="6"/>
      <c r="CU215" s="6"/>
      <c r="CV215" s="6"/>
      <c r="CW215" s="6"/>
      <c r="CX215" s="6"/>
      <c r="CY215" s="6"/>
      <c r="CZ215" s="6"/>
      <c r="DA215" s="343">
        <f t="shared" si="6"/>
        <v>43.75</v>
      </c>
    </row>
    <row r="216" spans="1:105" ht="20" customHeight="1" x14ac:dyDescent="0.35">
      <c r="A216" s="290">
        <v>520724</v>
      </c>
      <c r="B216" s="270" t="s">
        <v>825</v>
      </c>
      <c r="C216" s="270" t="s">
        <v>226</v>
      </c>
      <c r="D216" s="297" t="s">
        <v>634</v>
      </c>
      <c r="E216" s="270" t="s">
        <v>34</v>
      </c>
      <c r="F216" s="270" t="s">
        <v>613</v>
      </c>
      <c r="G216" s="270" t="s">
        <v>39</v>
      </c>
      <c r="H216" s="298">
        <f>H215/25*5</f>
        <v>8.75</v>
      </c>
      <c r="I216" s="300">
        <v>13</v>
      </c>
      <c r="J216" s="292">
        <v>13</v>
      </c>
      <c r="K216" s="286"/>
      <c r="L216" s="286">
        <v>14</v>
      </c>
      <c r="M216" s="286"/>
      <c r="N216" s="292">
        <v>14</v>
      </c>
      <c r="O216" s="286">
        <v>14</v>
      </c>
      <c r="P216" s="292">
        <v>14</v>
      </c>
      <c r="Q216" s="286">
        <v>14</v>
      </c>
      <c r="R216" s="286">
        <v>13.5</v>
      </c>
      <c r="S216" s="286">
        <v>14</v>
      </c>
      <c r="T216" s="286">
        <v>13</v>
      </c>
      <c r="U216" s="286"/>
      <c r="V216" s="313"/>
      <c r="W216" s="286"/>
      <c r="X216" s="286"/>
      <c r="Y216" s="286"/>
      <c r="Z216" s="286"/>
      <c r="AA216" s="286"/>
      <c r="AB216" s="286"/>
      <c r="AC216" s="286">
        <v>13.5</v>
      </c>
      <c r="AD216" s="286"/>
      <c r="AE216" s="286"/>
      <c r="AF216" s="286"/>
      <c r="AG216" s="286">
        <v>14</v>
      </c>
      <c r="AH216" s="286"/>
      <c r="AI216" s="286">
        <v>13</v>
      </c>
      <c r="AJ216" s="286"/>
      <c r="AK216" s="295">
        <v>14</v>
      </c>
      <c r="AL216" s="288">
        <v>13</v>
      </c>
      <c r="AM216" s="287"/>
      <c r="AN216" s="287"/>
      <c r="AO216" s="287">
        <v>13</v>
      </c>
      <c r="AP216" s="286">
        <v>13</v>
      </c>
      <c r="AQ216" s="296">
        <v>14</v>
      </c>
      <c r="AR216" s="286">
        <v>13</v>
      </c>
      <c r="AS216" s="286"/>
      <c r="AT216" s="286">
        <v>13</v>
      </c>
      <c r="AU216" s="286">
        <v>13</v>
      </c>
      <c r="AV216" s="286">
        <v>13</v>
      </c>
      <c r="AW216" s="286">
        <v>13</v>
      </c>
      <c r="AX216" s="286">
        <v>13</v>
      </c>
      <c r="AY216" s="286">
        <v>13</v>
      </c>
      <c r="AZ216" s="286">
        <v>13</v>
      </c>
      <c r="BA216" s="286">
        <v>13</v>
      </c>
      <c r="BB216" s="286">
        <f>BA216</f>
        <v>13</v>
      </c>
      <c r="BC216" s="286">
        <v>13</v>
      </c>
      <c r="BD216" s="286">
        <v>14</v>
      </c>
      <c r="BE216" s="286">
        <v>13</v>
      </c>
      <c r="BF216" s="287"/>
      <c r="BG216" s="287"/>
      <c r="BH216" s="286">
        <v>13</v>
      </c>
      <c r="BI216" s="287"/>
      <c r="BJ216" s="287"/>
      <c r="BK216" s="287"/>
      <c r="BL216" s="287"/>
      <c r="BM216" s="287"/>
      <c r="BN216" s="287"/>
      <c r="BO216" s="287"/>
      <c r="BP216" s="287"/>
      <c r="BQ216" s="287"/>
      <c r="BR216" s="287"/>
      <c r="BS216" s="287"/>
      <c r="BT216" s="287"/>
      <c r="BU216" s="287">
        <v>14</v>
      </c>
      <c r="BV216" s="287"/>
      <c r="BW216" s="287"/>
      <c r="BX216" s="286">
        <v>13</v>
      </c>
      <c r="BY216" s="289"/>
      <c r="BZ216" s="289">
        <v>14</v>
      </c>
      <c r="CA216" s="289"/>
      <c r="CB216" s="289"/>
      <c r="CC216" s="289"/>
      <c r="CD216" s="289"/>
      <c r="CE216" s="289"/>
      <c r="CF216" s="289"/>
      <c r="CG216" s="287"/>
      <c r="CH216" s="287"/>
      <c r="CI216" s="287"/>
      <c r="CJ216" s="287"/>
      <c r="CK216" s="287"/>
      <c r="CL216" s="287"/>
      <c r="CM216" s="286">
        <v>13</v>
      </c>
      <c r="CN216" s="292">
        <v>13</v>
      </c>
      <c r="CO216" s="292">
        <v>13</v>
      </c>
      <c r="CP216" s="287"/>
      <c r="CQ216" s="287">
        <v>13</v>
      </c>
      <c r="CR216" s="292">
        <v>14</v>
      </c>
      <c r="CS216" s="315">
        <v>13</v>
      </c>
      <c r="CT216" s="6"/>
      <c r="CU216" s="6"/>
      <c r="CV216" s="6"/>
      <c r="CW216" s="6"/>
      <c r="CX216" s="6"/>
      <c r="CY216" s="6"/>
      <c r="CZ216" s="6"/>
      <c r="DA216" s="343">
        <f t="shared" si="6"/>
        <v>8.75</v>
      </c>
    </row>
    <row r="217" spans="1:105" ht="20" customHeight="1" x14ac:dyDescent="0.35">
      <c r="A217" s="290" t="s">
        <v>2082</v>
      </c>
      <c r="B217" s="270" t="s">
        <v>825</v>
      </c>
      <c r="C217" s="270" t="s">
        <v>226</v>
      </c>
      <c r="D217" s="297" t="s">
        <v>634</v>
      </c>
      <c r="E217" s="270" t="s">
        <v>34</v>
      </c>
      <c r="F217" s="270" t="s">
        <v>613</v>
      </c>
      <c r="G217" s="270" t="s">
        <v>39</v>
      </c>
      <c r="H217" s="298">
        <f>H216/25*5</f>
        <v>1.75</v>
      </c>
      <c r="I217" s="300">
        <v>13</v>
      </c>
      <c r="J217" s="292"/>
      <c r="K217" s="286"/>
      <c r="L217" s="286"/>
      <c r="M217" s="286"/>
      <c r="N217" s="292"/>
      <c r="O217" s="286"/>
      <c r="P217" s="292"/>
      <c r="Q217" s="286"/>
      <c r="R217" s="286"/>
      <c r="S217" s="286"/>
      <c r="T217" s="286"/>
      <c r="U217" s="286"/>
      <c r="V217" s="313"/>
      <c r="W217" s="286"/>
      <c r="X217" s="286"/>
      <c r="Y217" s="286"/>
      <c r="Z217" s="286"/>
      <c r="AA217" s="286"/>
      <c r="AB217" s="286"/>
      <c r="AC217" s="286"/>
      <c r="AD217" s="286"/>
      <c r="AE217" s="286"/>
      <c r="AF217" s="286"/>
      <c r="AG217" s="286"/>
      <c r="AH217" s="286"/>
      <c r="AI217" s="286"/>
      <c r="AJ217" s="286"/>
      <c r="AK217" s="295"/>
      <c r="AL217" s="288"/>
      <c r="AM217" s="287"/>
      <c r="AN217" s="287"/>
      <c r="AO217" s="287"/>
      <c r="AP217" s="286"/>
      <c r="AQ217" s="296"/>
      <c r="AR217" s="286"/>
      <c r="AS217" s="286"/>
      <c r="AT217" s="286"/>
      <c r="AU217" s="286"/>
      <c r="AV217" s="286"/>
      <c r="AW217" s="286"/>
      <c r="AX217" s="286"/>
      <c r="AY217" s="286"/>
      <c r="AZ217" s="286"/>
      <c r="BA217" s="286"/>
      <c r="BB217" s="286"/>
      <c r="BC217" s="286"/>
      <c r="BD217" s="286"/>
      <c r="BE217" s="286"/>
      <c r="BF217" s="287"/>
      <c r="BG217" s="287"/>
      <c r="BH217" s="286"/>
      <c r="BI217" s="287"/>
      <c r="BJ217" s="287"/>
      <c r="BK217" s="287"/>
      <c r="BL217" s="287"/>
      <c r="BM217" s="287"/>
      <c r="BN217" s="287"/>
      <c r="BO217" s="287"/>
      <c r="BP217" s="287"/>
      <c r="BQ217" s="287"/>
      <c r="BR217" s="287"/>
      <c r="BS217" s="287"/>
      <c r="BT217" s="287"/>
      <c r="BU217" s="287"/>
      <c r="BV217" s="287"/>
      <c r="BW217" s="287"/>
      <c r="BX217" s="286"/>
      <c r="BY217" s="289"/>
      <c r="BZ217" s="289"/>
      <c r="CA217" s="289"/>
      <c r="CB217" s="289"/>
      <c r="CC217" s="289"/>
      <c r="CD217" s="289"/>
      <c r="CE217" s="289"/>
      <c r="CF217" s="289"/>
      <c r="CG217" s="287"/>
      <c r="CH217" s="287"/>
      <c r="CI217" s="287"/>
      <c r="CJ217" s="287"/>
      <c r="CK217" s="287"/>
      <c r="CL217" s="287"/>
      <c r="CM217" s="286"/>
      <c r="CN217" s="292"/>
      <c r="CO217" s="292"/>
      <c r="CP217" s="287"/>
      <c r="CQ217" s="287">
        <v>13</v>
      </c>
      <c r="CR217" s="292"/>
      <c r="CS217" s="315">
        <v>13</v>
      </c>
      <c r="CT217" s="6"/>
      <c r="CU217" s="6"/>
      <c r="CV217" s="6"/>
      <c r="CW217" s="6"/>
      <c r="CX217" s="6"/>
      <c r="CY217" s="6"/>
      <c r="CZ217" s="6"/>
      <c r="DA217" s="343">
        <f>H217</f>
        <v>1.75</v>
      </c>
    </row>
    <row r="218" spans="1:105" ht="20" customHeight="1" x14ac:dyDescent="0.35">
      <c r="A218" s="309"/>
      <c r="B218" s="270" t="s">
        <v>826</v>
      </c>
      <c r="C218" s="270" t="s">
        <v>226</v>
      </c>
      <c r="D218" s="270"/>
      <c r="E218" s="270" t="s">
        <v>34</v>
      </c>
      <c r="F218" s="270" t="s">
        <v>1048</v>
      </c>
      <c r="G218" s="270" t="s">
        <v>39</v>
      </c>
      <c r="H218" s="298">
        <f>H216/5*2</f>
        <v>3.5</v>
      </c>
      <c r="I218" s="286"/>
      <c r="J218" s="286"/>
      <c r="K218" s="286"/>
      <c r="L218" s="286"/>
      <c r="M218" s="286"/>
      <c r="N218" s="286"/>
      <c r="O218" s="286"/>
      <c r="P218" s="286"/>
      <c r="Q218" s="286"/>
      <c r="R218" s="286"/>
      <c r="S218" s="286"/>
      <c r="T218" s="286"/>
      <c r="U218" s="286"/>
      <c r="V218" s="294"/>
      <c r="W218" s="286"/>
      <c r="X218" s="286"/>
      <c r="Y218" s="286"/>
      <c r="Z218" s="286"/>
      <c r="AA218" s="286"/>
      <c r="AB218" s="286"/>
      <c r="AC218" s="286"/>
      <c r="AD218" s="286"/>
      <c r="AE218" s="286"/>
      <c r="AF218" s="286"/>
      <c r="AG218" s="286"/>
      <c r="AH218" s="286"/>
      <c r="AI218" s="286"/>
      <c r="AJ218" s="286"/>
      <c r="AK218" s="287"/>
      <c r="AL218" s="288"/>
      <c r="AM218" s="287"/>
      <c r="AN218" s="287"/>
      <c r="AO218" s="287"/>
      <c r="AP218" s="286"/>
      <c r="AQ218" s="296"/>
      <c r="AR218" s="286"/>
      <c r="AS218" s="286"/>
      <c r="AT218" s="286"/>
      <c r="AU218" s="286"/>
      <c r="AV218" s="286"/>
      <c r="AW218" s="286"/>
      <c r="AX218" s="286"/>
      <c r="AY218" s="286"/>
      <c r="AZ218" s="286"/>
      <c r="BA218" s="286"/>
      <c r="BB218" s="286"/>
      <c r="BC218" s="286"/>
      <c r="BD218" s="287"/>
      <c r="BE218" s="287"/>
      <c r="BF218" s="287"/>
      <c r="BG218" s="287"/>
      <c r="BH218" s="287"/>
      <c r="BI218" s="287"/>
      <c r="BJ218" s="287"/>
      <c r="BK218" s="287"/>
      <c r="BL218" s="287"/>
      <c r="BM218" s="287"/>
      <c r="BN218" s="287"/>
      <c r="BO218" s="287"/>
      <c r="BP218" s="287"/>
      <c r="BQ218" s="287"/>
      <c r="BR218" s="287"/>
      <c r="BS218" s="287"/>
      <c r="BT218" s="287"/>
      <c r="BU218" s="287"/>
      <c r="BV218" s="287"/>
      <c r="BW218" s="287"/>
      <c r="BX218" s="286"/>
      <c r="BY218" s="289"/>
      <c r="BZ218" s="289"/>
      <c r="CA218" s="289"/>
      <c r="CB218" s="289"/>
      <c r="CC218" s="289"/>
      <c r="CD218" s="289"/>
      <c r="CE218" s="289"/>
      <c r="CF218" s="289"/>
      <c r="CG218" s="287"/>
      <c r="CH218" s="287"/>
      <c r="CI218" s="287"/>
      <c r="CJ218" s="287"/>
      <c r="CK218" s="287"/>
      <c r="CL218" s="287"/>
      <c r="CM218" s="287"/>
      <c r="CN218" s="287"/>
      <c r="CO218" s="287"/>
      <c r="CP218" s="287"/>
      <c r="CQ218" s="287"/>
      <c r="CR218" s="287"/>
      <c r="CS218" s="6"/>
      <c r="CT218" s="6"/>
      <c r="CU218" s="6"/>
      <c r="CV218" s="6"/>
      <c r="CW218" s="6"/>
      <c r="CX218" s="6"/>
      <c r="CY218" s="6"/>
      <c r="CZ218" s="6"/>
      <c r="DA218" s="343">
        <f t="shared" si="6"/>
        <v>3.5</v>
      </c>
    </row>
    <row r="219" spans="1:105" ht="20" customHeight="1" x14ac:dyDescent="0.35">
      <c r="A219" s="301"/>
      <c r="B219" s="270" t="s">
        <v>827</v>
      </c>
      <c r="C219" s="270" t="s">
        <v>226</v>
      </c>
      <c r="D219" s="270"/>
      <c r="E219" s="270" t="s">
        <v>34</v>
      </c>
      <c r="F219" s="270" t="s">
        <v>62</v>
      </c>
      <c r="G219" s="270" t="s">
        <v>39</v>
      </c>
      <c r="H219" s="298">
        <f>H216/5</f>
        <v>1.75</v>
      </c>
      <c r="I219" s="286"/>
      <c r="J219" s="286"/>
      <c r="K219" s="286"/>
      <c r="L219" s="286"/>
      <c r="M219" s="286"/>
      <c r="N219" s="286"/>
      <c r="O219" s="286"/>
      <c r="P219" s="286"/>
      <c r="Q219" s="286"/>
      <c r="R219" s="286"/>
      <c r="S219" s="286"/>
      <c r="T219" s="286"/>
      <c r="U219" s="286"/>
      <c r="V219" s="294"/>
      <c r="W219" s="286"/>
      <c r="X219" s="286"/>
      <c r="Y219" s="286"/>
      <c r="Z219" s="286"/>
      <c r="AA219" s="286"/>
      <c r="AB219" s="286"/>
      <c r="AC219" s="286"/>
      <c r="AD219" s="286"/>
      <c r="AE219" s="286"/>
      <c r="AF219" s="286"/>
      <c r="AG219" s="286"/>
      <c r="AH219" s="286"/>
      <c r="AI219" s="286"/>
      <c r="AJ219" s="286"/>
      <c r="AK219" s="287"/>
      <c r="AL219" s="288"/>
      <c r="AM219" s="287"/>
      <c r="AN219" s="287"/>
      <c r="AO219" s="287"/>
      <c r="AP219" s="286"/>
      <c r="AQ219" s="296"/>
      <c r="AR219" s="286"/>
      <c r="AS219" s="286"/>
      <c r="AT219" s="286"/>
      <c r="AU219" s="286"/>
      <c r="AV219" s="286"/>
      <c r="AW219" s="286"/>
      <c r="AX219" s="286"/>
      <c r="AY219" s="286"/>
      <c r="AZ219" s="286"/>
      <c r="BA219" s="286"/>
      <c r="BB219" s="286"/>
      <c r="BC219" s="286"/>
      <c r="BD219" s="287"/>
      <c r="BE219" s="287"/>
      <c r="BF219" s="287"/>
      <c r="BG219" s="287"/>
      <c r="BH219" s="287"/>
      <c r="BI219" s="287"/>
      <c r="BJ219" s="287"/>
      <c r="BK219" s="287"/>
      <c r="BL219" s="287"/>
      <c r="BM219" s="287"/>
      <c r="BN219" s="287"/>
      <c r="BO219" s="287"/>
      <c r="BP219" s="287"/>
      <c r="BQ219" s="287"/>
      <c r="BR219" s="287"/>
      <c r="BS219" s="287"/>
      <c r="BT219" s="287"/>
      <c r="BU219" s="287"/>
      <c r="BV219" s="287"/>
      <c r="BW219" s="287"/>
      <c r="BX219" s="286"/>
      <c r="BY219" s="289"/>
      <c r="BZ219" s="289"/>
      <c r="CA219" s="289"/>
      <c r="CB219" s="289"/>
      <c r="CC219" s="289"/>
      <c r="CD219" s="289"/>
      <c r="CE219" s="289"/>
      <c r="CF219" s="289"/>
      <c r="CG219" s="287"/>
      <c r="CH219" s="287"/>
      <c r="CI219" s="287"/>
      <c r="CJ219" s="287"/>
      <c r="CK219" s="287"/>
      <c r="CL219" s="287"/>
      <c r="CM219" s="287"/>
      <c r="CN219" s="287"/>
      <c r="CO219" s="287"/>
      <c r="CP219" s="287"/>
      <c r="CQ219" s="287"/>
      <c r="CR219" s="287"/>
      <c r="CS219" s="6"/>
      <c r="CT219" s="6"/>
      <c r="CU219" s="6"/>
      <c r="CV219" s="6"/>
      <c r="CW219" s="6"/>
      <c r="CX219" s="6"/>
      <c r="CY219" s="6"/>
      <c r="CZ219" s="6"/>
      <c r="DA219" s="343">
        <f t="shared" si="6"/>
        <v>1.75</v>
      </c>
    </row>
    <row r="220" spans="1:105" ht="20" customHeight="1" x14ac:dyDescent="0.35">
      <c r="A220" s="301"/>
      <c r="B220" s="270" t="s">
        <v>1328</v>
      </c>
      <c r="C220" s="270" t="s">
        <v>226</v>
      </c>
      <c r="D220" s="270"/>
      <c r="E220" s="270" t="s">
        <v>34</v>
      </c>
      <c r="F220" s="270" t="s">
        <v>614</v>
      </c>
      <c r="G220" s="270" t="s">
        <v>39</v>
      </c>
      <c r="H220" s="298">
        <f>H219*3</f>
        <v>5.25</v>
      </c>
      <c r="I220" s="286">
        <f>I216/5*3+0.3</f>
        <v>8.1000000000000014</v>
      </c>
      <c r="J220" s="286"/>
      <c r="K220" s="286"/>
      <c r="L220" s="286"/>
      <c r="M220" s="286"/>
      <c r="N220" s="286"/>
      <c r="O220" s="286"/>
      <c r="P220" s="286"/>
      <c r="Q220" s="286"/>
      <c r="R220" s="286"/>
      <c r="S220" s="286"/>
      <c r="T220" s="286"/>
      <c r="U220" s="286"/>
      <c r="V220" s="294"/>
      <c r="W220" s="286"/>
      <c r="X220" s="286"/>
      <c r="Y220" s="286"/>
      <c r="Z220" s="286"/>
      <c r="AA220" s="286"/>
      <c r="AB220" s="286"/>
      <c r="AC220" s="286"/>
      <c r="AD220" s="286"/>
      <c r="AE220" s="286"/>
      <c r="AF220" s="286"/>
      <c r="AG220" s="286"/>
      <c r="AH220" s="286"/>
      <c r="AI220" s="286"/>
      <c r="AJ220" s="286"/>
      <c r="AK220" s="287"/>
      <c r="AL220" s="288"/>
      <c r="AM220" s="287"/>
      <c r="AN220" s="287"/>
      <c r="AO220" s="287"/>
      <c r="AP220" s="286"/>
      <c r="AQ220" s="296"/>
      <c r="AR220" s="286"/>
      <c r="AS220" s="286"/>
      <c r="AT220" s="286"/>
      <c r="AU220" s="286"/>
      <c r="AV220" s="286"/>
      <c r="AW220" s="286"/>
      <c r="AX220" s="286"/>
      <c r="AY220" s="286"/>
      <c r="AZ220" s="286"/>
      <c r="BA220" s="286"/>
      <c r="BB220" s="286"/>
      <c r="BC220" s="286"/>
      <c r="BD220" s="287"/>
      <c r="BE220" s="287"/>
      <c r="BF220" s="287"/>
      <c r="BG220" s="287"/>
      <c r="BH220" s="287"/>
      <c r="BI220" s="287"/>
      <c r="BJ220" s="287"/>
      <c r="BK220" s="287"/>
      <c r="BL220" s="287"/>
      <c r="BM220" s="287"/>
      <c r="BN220" s="287"/>
      <c r="BO220" s="287"/>
      <c r="BP220" s="287"/>
      <c r="BQ220" s="287"/>
      <c r="BR220" s="287"/>
      <c r="BS220" s="287"/>
      <c r="BT220" s="287"/>
      <c r="BU220" s="287"/>
      <c r="BV220" s="287"/>
      <c r="BW220" s="287"/>
      <c r="BX220" s="286"/>
      <c r="BY220" s="289"/>
      <c r="BZ220" s="289"/>
      <c r="CA220" s="289"/>
      <c r="CB220" s="289"/>
      <c r="CC220" s="289"/>
      <c r="CD220" s="289"/>
      <c r="CE220" s="289"/>
      <c r="CF220" s="289"/>
      <c r="CG220" s="287"/>
      <c r="CH220" s="287"/>
      <c r="CI220" s="287"/>
      <c r="CJ220" s="287"/>
      <c r="CK220" s="287"/>
      <c r="CL220" s="287"/>
      <c r="CM220" s="287"/>
      <c r="CN220" s="287"/>
      <c r="CO220" s="287"/>
      <c r="CP220" s="287"/>
      <c r="CQ220" s="287"/>
      <c r="CR220" s="287"/>
      <c r="CS220" s="288">
        <f>I220</f>
        <v>8.1000000000000014</v>
      </c>
      <c r="CT220" s="6"/>
      <c r="CU220" s="6"/>
      <c r="CV220" s="6"/>
      <c r="CW220" s="6"/>
      <c r="CX220" s="6"/>
      <c r="CY220" s="6"/>
      <c r="CZ220" s="6"/>
      <c r="DA220" s="343">
        <f t="shared" si="6"/>
        <v>5.25</v>
      </c>
    </row>
    <row r="221" spans="1:105" ht="20" customHeight="1" x14ac:dyDescent="0.35">
      <c r="A221" s="301"/>
      <c r="B221" s="270" t="s">
        <v>828</v>
      </c>
      <c r="C221" s="270" t="s">
        <v>1613</v>
      </c>
      <c r="D221" s="270" t="s">
        <v>630</v>
      </c>
      <c r="E221" s="270"/>
      <c r="F221" s="270" t="s">
        <v>422</v>
      </c>
      <c r="G221" s="270" t="s">
        <v>522</v>
      </c>
      <c r="H221" s="298"/>
      <c r="I221" s="286"/>
      <c r="J221" s="286"/>
      <c r="K221" s="286"/>
      <c r="L221" s="286"/>
      <c r="M221" s="286"/>
      <c r="N221" s="286"/>
      <c r="O221" s="286"/>
      <c r="P221" s="286"/>
      <c r="Q221" s="286"/>
      <c r="R221" s="286"/>
      <c r="S221" s="286"/>
      <c r="T221" s="286"/>
      <c r="U221" s="286"/>
      <c r="V221" s="294"/>
      <c r="W221" s="286"/>
      <c r="X221" s="286"/>
      <c r="Y221" s="286"/>
      <c r="Z221" s="286"/>
      <c r="AA221" s="286"/>
      <c r="AB221" s="286"/>
      <c r="AC221" s="286"/>
      <c r="AD221" s="286"/>
      <c r="AE221" s="286"/>
      <c r="AF221" s="286"/>
      <c r="AG221" s="286"/>
      <c r="AH221" s="286"/>
      <c r="AI221" s="286"/>
      <c r="AJ221" s="286"/>
      <c r="AK221" s="287"/>
      <c r="AL221" s="288"/>
      <c r="AM221" s="287"/>
      <c r="AN221" s="287"/>
      <c r="AO221" s="287"/>
      <c r="AP221" s="286"/>
      <c r="AQ221" s="296"/>
      <c r="AR221" s="286"/>
      <c r="AS221" s="286"/>
      <c r="AT221" s="286"/>
      <c r="AU221" s="286"/>
      <c r="AV221" s="286"/>
      <c r="AW221" s="286"/>
      <c r="AX221" s="286"/>
      <c r="AY221" s="286"/>
      <c r="AZ221" s="286"/>
      <c r="BA221" s="286"/>
      <c r="BB221" s="286"/>
      <c r="BC221" s="286"/>
      <c r="BD221" s="287"/>
      <c r="BE221" s="287"/>
      <c r="BF221" s="287"/>
      <c r="BG221" s="287"/>
      <c r="BH221" s="287"/>
      <c r="BI221" s="287"/>
      <c r="BJ221" s="287"/>
      <c r="BK221" s="287"/>
      <c r="BL221" s="287"/>
      <c r="BM221" s="287"/>
      <c r="BN221" s="287"/>
      <c r="BO221" s="287"/>
      <c r="BP221" s="287"/>
      <c r="BQ221" s="287"/>
      <c r="BR221" s="287"/>
      <c r="BS221" s="287"/>
      <c r="BT221" s="287"/>
      <c r="BU221" s="287"/>
      <c r="BV221" s="287"/>
      <c r="BW221" s="287"/>
      <c r="BX221" s="286"/>
      <c r="BY221" s="289"/>
      <c r="BZ221" s="289"/>
      <c r="CA221" s="289"/>
      <c r="CB221" s="289"/>
      <c r="CC221" s="289"/>
      <c r="CD221" s="289"/>
      <c r="CE221" s="289"/>
      <c r="CF221" s="289"/>
      <c r="CG221" s="287"/>
      <c r="CH221" s="287"/>
      <c r="CI221" s="287"/>
      <c r="CJ221" s="287"/>
      <c r="CK221" s="287"/>
      <c r="CL221" s="287"/>
      <c r="CM221" s="287"/>
      <c r="CN221" s="287"/>
      <c r="CO221" s="287"/>
      <c r="CP221" s="287"/>
      <c r="CQ221" s="287"/>
      <c r="CR221" s="287"/>
      <c r="CS221" s="6"/>
      <c r="CT221" s="6"/>
      <c r="CU221" s="6"/>
      <c r="CV221" s="6"/>
      <c r="CW221" s="6"/>
      <c r="CX221" s="6"/>
      <c r="CY221" s="6"/>
      <c r="CZ221" s="6"/>
      <c r="DA221" s="343">
        <f t="shared" si="6"/>
        <v>0</v>
      </c>
    </row>
    <row r="222" spans="1:105" ht="20" customHeight="1" x14ac:dyDescent="0.35">
      <c r="A222" s="301"/>
      <c r="B222" s="270" t="s">
        <v>829</v>
      </c>
      <c r="C222" s="270" t="s">
        <v>1614</v>
      </c>
      <c r="D222" s="270" t="s">
        <v>630</v>
      </c>
      <c r="E222" s="270"/>
      <c r="F222" s="270" t="s">
        <v>422</v>
      </c>
      <c r="G222" s="270" t="s">
        <v>522</v>
      </c>
      <c r="H222" s="298"/>
      <c r="I222" s="286"/>
      <c r="J222" s="286"/>
      <c r="K222" s="286"/>
      <c r="L222" s="286"/>
      <c r="M222" s="286"/>
      <c r="N222" s="286"/>
      <c r="O222" s="286"/>
      <c r="P222" s="286"/>
      <c r="Q222" s="286"/>
      <c r="R222" s="286"/>
      <c r="S222" s="286"/>
      <c r="T222" s="286"/>
      <c r="U222" s="286"/>
      <c r="V222" s="294"/>
      <c r="W222" s="286"/>
      <c r="X222" s="286"/>
      <c r="Y222" s="286"/>
      <c r="Z222" s="286"/>
      <c r="AA222" s="286"/>
      <c r="AB222" s="286"/>
      <c r="AC222" s="286"/>
      <c r="AD222" s="286"/>
      <c r="AE222" s="286"/>
      <c r="AF222" s="286"/>
      <c r="AG222" s="286"/>
      <c r="AH222" s="286"/>
      <c r="AI222" s="286"/>
      <c r="AJ222" s="286"/>
      <c r="AK222" s="287"/>
      <c r="AL222" s="288"/>
      <c r="AM222" s="287"/>
      <c r="AN222" s="287"/>
      <c r="AO222" s="287"/>
      <c r="AP222" s="286"/>
      <c r="AQ222" s="296"/>
      <c r="AR222" s="286"/>
      <c r="AS222" s="286"/>
      <c r="AT222" s="286"/>
      <c r="AU222" s="286"/>
      <c r="AV222" s="286"/>
      <c r="AW222" s="286"/>
      <c r="AX222" s="286"/>
      <c r="AY222" s="286"/>
      <c r="AZ222" s="286"/>
      <c r="BA222" s="286"/>
      <c r="BB222" s="286"/>
      <c r="BC222" s="286"/>
      <c r="BD222" s="287"/>
      <c r="BE222" s="287"/>
      <c r="BF222" s="287"/>
      <c r="BG222" s="287"/>
      <c r="BH222" s="287"/>
      <c r="BI222" s="287"/>
      <c r="BJ222" s="287"/>
      <c r="BK222" s="287"/>
      <c r="BL222" s="287"/>
      <c r="BM222" s="287"/>
      <c r="BN222" s="287"/>
      <c r="BO222" s="287"/>
      <c r="BP222" s="287"/>
      <c r="BQ222" s="287"/>
      <c r="BR222" s="287"/>
      <c r="BS222" s="287"/>
      <c r="BT222" s="287"/>
      <c r="BU222" s="287"/>
      <c r="BV222" s="287"/>
      <c r="BW222" s="287"/>
      <c r="BX222" s="286"/>
      <c r="BY222" s="289"/>
      <c r="BZ222" s="289"/>
      <c r="CA222" s="289"/>
      <c r="CB222" s="289"/>
      <c r="CC222" s="289"/>
      <c r="CD222" s="289"/>
      <c r="CE222" s="289"/>
      <c r="CF222" s="289"/>
      <c r="CG222" s="287"/>
      <c r="CH222" s="287"/>
      <c r="CI222" s="287"/>
      <c r="CJ222" s="287"/>
      <c r="CK222" s="287"/>
      <c r="CL222" s="287"/>
      <c r="CM222" s="287"/>
      <c r="CN222" s="287"/>
      <c r="CO222" s="287"/>
      <c r="CP222" s="287"/>
      <c r="CQ222" s="287"/>
      <c r="CR222" s="287"/>
      <c r="CS222" s="6"/>
      <c r="CT222" s="6"/>
      <c r="CU222" s="6"/>
      <c r="CV222" s="6"/>
      <c r="CW222" s="6"/>
      <c r="CX222" s="6"/>
      <c r="CY222" s="6"/>
      <c r="CZ222" s="6"/>
      <c r="DA222" s="343">
        <f t="shared" si="6"/>
        <v>0</v>
      </c>
    </row>
    <row r="223" spans="1:105" ht="20" customHeight="1" x14ac:dyDescent="0.35">
      <c r="A223" s="301">
        <v>4000005588</v>
      </c>
      <c r="B223" s="270" t="s">
        <v>830</v>
      </c>
      <c r="C223" s="270" t="s">
        <v>1413</v>
      </c>
      <c r="D223" s="270" t="s">
        <v>632</v>
      </c>
      <c r="E223" s="270" t="s">
        <v>368</v>
      </c>
      <c r="F223" s="270" t="s">
        <v>1817</v>
      </c>
      <c r="G223" s="270" t="s">
        <v>39</v>
      </c>
      <c r="H223" s="349">
        <v>77</v>
      </c>
      <c r="I223" s="286"/>
      <c r="J223" s="286"/>
      <c r="K223" s="300">
        <v>83</v>
      </c>
      <c r="L223" s="286">
        <v>88</v>
      </c>
      <c r="M223" s="400"/>
      <c r="N223" s="286"/>
      <c r="O223" s="286"/>
      <c r="P223" s="286"/>
      <c r="Q223" s="286"/>
      <c r="R223" s="286"/>
      <c r="S223" s="286"/>
      <c r="T223" s="286"/>
      <c r="U223" s="286"/>
      <c r="V223" s="294"/>
      <c r="W223" s="286"/>
      <c r="X223" s="286"/>
      <c r="Y223" s="286"/>
      <c r="Z223" s="286"/>
      <c r="AA223" s="286"/>
      <c r="AB223" s="286"/>
      <c r="AC223" s="286"/>
      <c r="AD223" s="286"/>
      <c r="AE223" s="286"/>
      <c r="AF223" s="286"/>
      <c r="AG223" s="286"/>
      <c r="AH223" s="286"/>
      <c r="AI223" s="286"/>
      <c r="AJ223" s="286"/>
      <c r="AK223" s="287"/>
      <c r="AL223" s="288"/>
      <c r="AM223" s="287"/>
      <c r="AN223" s="287"/>
      <c r="AO223" s="287"/>
      <c r="AP223" s="286"/>
      <c r="AQ223" s="296"/>
      <c r="AR223" s="286"/>
      <c r="AS223" s="286"/>
      <c r="AT223" s="286"/>
      <c r="AU223" s="286"/>
      <c r="AV223" s="286"/>
      <c r="AW223" s="286"/>
      <c r="AX223" s="286"/>
      <c r="AY223" s="286"/>
      <c r="AZ223" s="286"/>
      <c r="BA223" s="286"/>
      <c r="BB223" s="286"/>
      <c r="BC223" s="286"/>
      <c r="BD223" s="287"/>
      <c r="BE223" s="287"/>
      <c r="BF223" s="287"/>
      <c r="BG223" s="287"/>
      <c r="BH223" s="287"/>
      <c r="BI223" s="287"/>
      <c r="BJ223" s="287"/>
      <c r="BK223" s="287"/>
      <c r="BL223" s="287"/>
      <c r="BM223" s="287"/>
      <c r="BN223" s="287"/>
      <c r="BO223" s="287"/>
      <c r="BP223" s="287"/>
      <c r="BQ223" s="287"/>
      <c r="BR223" s="287"/>
      <c r="BS223" s="287"/>
      <c r="BT223" s="287"/>
      <c r="BU223" s="287"/>
      <c r="BV223" s="287"/>
      <c r="BW223" s="287"/>
      <c r="BX223" s="286"/>
      <c r="BY223" s="289"/>
      <c r="BZ223" s="289"/>
      <c r="CA223" s="289"/>
      <c r="CB223" s="289"/>
      <c r="CC223" s="289"/>
      <c r="CD223" s="289"/>
      <c r="CE223" s="289"/>
      <c r="CF223" s="289"/>
      <c r="CG223" s="287"/>
      <c r="CH223" s="287"/>
      <c r="CI223" s="287"/>
      <c r="CJ223" s="287"/>
      <c r="CK223" s="287"/>
      <c r="CL223" s="287"/>
      <c r="CM223" s="287"/>
      <c r="CN223" s="287"/>
      <c r="CO223" s="287"/>
      <c r="CP223" s="287"/>
      <c r="CQ223" s="287"/>
      <c r="CR223" s="287"/>
      <c r="CS223" s="6"/>
      <c r="CT223" s="6"/>
      <c r="CU223" s="6"/>
      <c r="CV223" s="6"/>
      <c r="CW223" s="6"/>
      <c r="CX223" s="6"/>
      <c r="CY223" s="6"/>
      <c r="CZ223" s="6"/>
      <c r="DA223" s="343">
        <f t="shared" si="6"/>
        <v>77</v>
      </c>
    </row>
    <row r="224" spans="1:105" ht="20" customHeight="1" x14ac:dyDescent="0.35">
      <c r="A224" s="290">
        <v>520746</v>
      </c>
      <c r="B224" s="270" t="s">
        <v>831</v>
      </c>
      <c r="C224" s="270" t="s">
        <v>1413</v>
      </c>
      <c r="D224" s="297" t="s">
        <v>632</v>
      </c>
      <c r="E224" s="270" t="s">
        <v>34</v>
      </c>
      <c r="F224" s="270" t="s">
        <v>613</v>
      </c>
      <c r="G224" s="270" t="s">
        <v>39</v>
      </c>
      <c r="H224" s="298">
        <f>H223/30*5</f>
        <v>12.833333333333334</v>
      </c>
      <c r="I224" s="300">
        <v>18</v>
      </c>
      <c r="J224" s="286"/>
      <c r="K224" s="286"/>
      <c r="L224" s="286">
        <v>18</v>
      </c>
      <c r="M224" s="400"/>
      <c r="N224" s="286"/>
      <c r="O224" s="286">
        <v>18</v>
      </c>
      <c r="P224" s="292">
        <v>18</v>
      </c>
      <c r="Q224" s="286">
        <v>19</v>
      </c>
      <c r="R224" s="286">
        <v>18</v>
      </c>
      <c r="S224" s="286">
        <v>18</v>
      </c>
      <c r="T224" s="286"/>
      <c r="U224" s="286"/>
      <c r="V224" s="294"/>
      <c r="W224" s="286"/>
      <c r="X224" s="286"/>
      <c r="Y224" s="286"/>
      <c r="Z224" s="286"/>
      <c r="AA224" s="286"/>
      <c r="AB224" s="286"/>
      <c r="AC224" s="286">
        <v>18</v>
      </c>
      <c r="AD224" s="286"/>
      <c r="AE224" s="286"/>
      <c r="AF224" s="286"/>
      <c r="AG224" s="286">
        <v>18</v>
      </c>
      <c r="AH224" s="286"/>
      <c r="AI224" s="286"/>
      <c r="AJ224" s="286"/>
      <c r="AK224" s="295">
        <v>18</v>
      </c>
      <c r="AL224" s="288"/>
      <c r="AM224" s="287"/>
      <c r="AN224" s="287"/>
      <c r="AO224" s="287"/>
      <c r="AP224" s="286"/>
      <c r="AQ224" s="296">
        <v>19</v>
      </c>
      <c r="AR224" s="286"/>
      <c r="AS224" s="286"/>
      <c r="AT224" s="286"/>
      <c r="AU224" s="286"/>
      <c r="AV224" s="286"/>
      <c r="AW224" s="286"/>
      <c r="AX224" s="286"/>
      <c r="AY224" s="286"/>
      <c r="AZ224" s="286"/>
      <c r="BA224" s="286"/>
      <c r="BB224" s="286"/>
      <c r="BC224" s="286"/>
      <c r="BD224" s="287"/>
      <c r="BE224" s="287"/>
      <c r="BF224" s="287"/>
      <c r="BG224" s="288">
        <v>18</v>
      </c>
      <c r="BH224" s="287"/>
      <c r="BI224" s="287"/>
      <c r="BJ224" s="287"/>
      <c r="BK224" s="287">
        <v>19</v>
      </c>
      <c r="BL224" s="287"/>
      <c r="BM224" s="287"/>
      <c r="BN224" s="287"/>
      <c r="BO224" s="287"/>
      <c r="BP224" s="287"/>
      <c r="BQ224" s="287"/>
      <c r="BR224" s="287"/>
      <c r="BS224" s="287"/>
      <c r="BT224" s="287"/>
      <c r="BU224" s="287"/>
      <c r="BV224" s="287"/>
      <c r="BW224" s="287"/>
      <c r="BX224" s="286"/>
      <c r="BY224" s="289"/>
      <c r="BZ224" s="289">
        <v>18</v>
      </c>
      <c r="CA224" s="289"/>
      <c r="CB224" s="289"/>
      <c r="CC224" s="289"/>
      <c r="CD224" s="289"/>
      <c r="CE224" s="289"/>
      <c r="CF224" s="289"/>
      <c r="CG224" s="287"/>
      <c r="CH224" s="287"/>
      <c r="CI224" s="287"/>
      <c r="CJ224" s="287"/>
      <c r="CK224" s="287"/>
      <c r="CL224" s="287"/>
      <c r="CM224" s="287"/>
      <c r="CN224" s="287"/>
      <c r="CO224" s="287"/>
      <c r="CP224" s="287"/>
      <c r="CQ224" s="287">
        <v>18</v>
      </c>
      <c r="CR224" s="287">
        <v>19</v>
      </c>
      <c r="CS224" s="288">
        <f>I224</f>
        <v>18</v>
      </c>
      <c r="CT224" s="6"/>
      <c r="CU224" s="6"/>
      <c r="CV224" s="6"/>
      <c r="CW224" s="6"/>
      <c r="CX224" s="6"/>
      <c r="CY224" s="6"/>
      <c r="CZ224" s="6"/>
      <c r="DA224" s="343">
        <f t="shared" ref="DA224" si="9">H224</f>
        <v>12.833333333333334</v>
      </c>
    </row>
    <row r="225" spans="1:105" ht="20" customHeight="1" x14ac:dyDescent="0.35">
      <c r="A225" s="290">
        <v>520785</v>
      </c>
      <c r="B225" s="270" t="s">
        <v>831</v>
      </c>
      <c r="C225" s="270" t="s">
        <v>1413</v>
      </c>
      <c r="D225" s="297" t="s">
        <v>632</v>
      </c>
      <c r="E225" s="270" t="s">
        <v>34</v>
      </c>
      <c r="F225" s="270" t="s">
        <v>613</v>
      </c>
      <c r="G225" s="270" t="s">
        <v>39</v>
      </c>
      <c r="H225" s="298">
        <f>H223/30*5</f>
        <v>12.833333333333334</v>
      </c>
      <c r="I225" s="300">
        <v>18</v>
      </c>
      <c r="J225" s="286"/>
      <c r="K225" s="286"/>
      <c r="L225" s="286">
        <v>18</v>
      </c>
      <c r="M225" s="400"/>
      <c r="N225" s="286"/>
      <c r="O225" s="286">
        <v>18</v>
      </c>
      <c r="P225" s="292">
        <v>18</v>
      </c>
      <c r="Q225" s="286">
        <v>19</v>
      </c>
      <c r="R225" s="286">
        <v>18</v>
      </c>
      <c r="S225" s="286">
        <v>18</v>
      </c>
      <c r="T225" s="286"/>
      <c r="U225" s="286"/>
      <c r="V225" s="294"/>
      <c r="W225" s="286"/>
      <c r="X225" s="286"/>
      <c r="Y225" s="286"/>
      <c r="Z225" s="286"/>
      <c r="AA225" s="286"/>
      <c r="AB225" s="286"/>
      <c r="AC225" s="286">
        <v>18</v>
      </c>
      <c r="AD225" s="286"/>
      <c r="AE225" s="286"/>
      <c r="AF225" s="286"/>
      <c r="AG225" s="286">
        <v>18</v>
      </c>
      <c r="AH225" s="286"/>
      <c r="AI225" s="286"/>
      <c r="AJ225" s="286"/>
      <c r="AK225" s="295">
        <v>18</v>
      </c>
      <c r="AL225" s="288"/>
      <c r="AM225" s="287"/>
      <c r="AN225" s="287"/>
      <c r="AO225" s="287"/>
      <c r="AP225" s="286"/>
      <c r="AQ225" s="296">
        <v>19</v>
      </c>
      <c r="AR225" s="286"/>
      <c r="AS225" s="286"/>
      <c r="AT225" s="286"/>
      <c r="AU225" s="286"/>
      <c r="AV225" s="286"/>
      <c r="AW225" s="286"/>
      <c r="AX225" s="286"/>
      <c r="AY225" s="286"/>
      <c r="AZ225" s="286"/>
      <c r="BA225" s="286"/>
      <c r="BB225" s="286"/>
      <c r="BC225" s="286"/>
      <c r="BD225" s="287"/>
      <c r="BE225" s="287"/>
      <c r="BF225" s="287"/>
      <c r="BG225" s="288">
        <v>18</v>
      </c>
      <c r="BH225" s="287"/>
      <c r="BI225" s="287"/>
      <c r="BJ225" s="287"/>
      <c r="BK225" s="287">
        <v>19</v>
      </c>
      <c r="BL225" s="287"/>
      <c r="BM225" s="287"/>
      <c r="BN225" s="287"/>
      <c r="BO225" s="287"/>
      <c r="BP225" s="287"/>
      <c r="BQ225" s="287"/>
      <c r="BR225" s="287"/>
      <c r="BS225" s="287"/>
      <c r="BT225" s="287"/>
      <c r="BU225" s="287"/>
      <c r="BV225" s="287"/>
      <c r="BW225" s="287"/>
      <c r="BX225" s="286"/>
      <c r="BY225" s="289"/>
      <c r="BZ225" s="289">
        <v>18</v>
      </c>
      <c r="CA225" s="289"/>
      <c r="CB225" s="289"/>
      <c r="CC225" s="289"/>
      <c r="CD225" s="289"/>
      <c r="CE225" s="289"/>
      <c r="CF225" s="289"/>
      <c r="CG225" s="287"/>
      <c r="CH225" s="287"/>
      <c r="CI225" s="287"/>
      <c r="CJ225" s="287"/>
      <c r="CK225" s="287"/>
      <c r="CL225" s="287"/>
      <c r="CM225" s="287"/>
      <c r="CN225" s="287"/>
      <c r="CO225" s="287"/>
      <c r="CP225" s="287"/>
      <c r="CQ225" s="287">
        <v>18</v>
      </c>
      <c r="CR225" s="287">
        <v>19</v>
      </c>
      <c r="CS225" s="288">
        <f>I225</f>
        <v>18</v>
      </c>
      <c r="CT225" s="6"/>
      <c r="CU225" s="6"/>
      <c r="CV225" s="6"/>
      <c r="CW225" s="6"/>
      <c r="CX225" s="6"/>
      <c r="CY225" s="6"/>
      <c r="CZ225" s="6"/>
      <c r="DA225" s="343">
        <f t="shared" si="6"/>
        <v>12.833333333333334</v>
      </c>
    </row>
    <row r="226" spans="1:105" ht="20" customHeight="1" x14ac:dyDescent="0.35">
      <c r="A226" s="301"/>
      <c r="B226" s="311" t="s">
        <v>832</v>
      </c>
      <c r="C226" s="270" t="s">
        <v>1413</v>
      </c>
      <c r="D226" s="270"/>
      <c r="E226" s="270" t="s">
        <v>34</v>
      </c>
      <c r="F226" s="270" t="s">
        <v>614</v>
      </c>
      <c r="G226" s="270" t="s">
        <v>39</v>
      </c>
      <c r="H226" s="298">
        <f>H223/30*3</f>
        <v>7.7000000000000011</v>
      </c>
      <c r="I226" s="286">
        <f>I225/5*3+0.3</f>
        <v>11.100000000000001</v>
      </c>
      <c r="J226" s="286"/>
      <c r="K226" s="286"/>
      <c r="L226" s="286"/>
      <c r="M226" s="286"/>
      <c r="N226" s="286"/>
      <c r="O226" s="286"/>
      <c r="P226" s="286"/>
      <c r="Q226" s="286"/>
      <c r="R226" s="286"/>
      <c r="S226" s="286"/>
      <c r="T226" s="286"/>
      <c r="U226" s="286"/>
      <c r="V226" s="294"/>
      <c r="W226" s="286"/>
      <c r="X226" s="286"/>
      <c r="Y226" s="286"/>
      <c r="Z226" s="286"/>
      <c r="AA226" s="286"/>
      <c r="AB226" s="286"/>
      <c r="AC226" s="286"/>
      <c r="AD226" s="286"/>
      <c r="AE226" s="286"/>
      <c r="AF226" s="286"/>
      <c r="AG226" s="286"/>
      <c r="AH226" s="286"/>
      <c r="AI226" s="286"/>
      <c r="AJ226" s="286">
        <v>11</v>
      </c>
      <c r="AK226" s="287"/>
      <c r="AL226" s="288"/>
      <c r="AM226" s="287"/>
      <c r="AN226" s="287"/>
      <c r="AO226" s="287"/>
      <c r="AP226" s="286"/>
      <c r="AQ226" s="296"/>
      <c r="AR226" s="286"/>
      <c r="AS226" s="286"/>
      <c r="AT226" s="286"/>
      <c r="AU226" s="286"/>
      <c r="AV226" s="286"/>
      <c r="AW226" s="286"/>
      <c r="AX226" s="286"/>
      <c r="AY226" s="286"/>
      <c r="AZ226" s="286"/>
      <c r="BA226" s="286"/>
      <c r="BB226" s="286"/>
      <c r="BC226" s="286"/>
      <c r="BD226" s="287"/>
      <c r="BE226" s="287"/>
      <c r="BF226" s="287"/>
      <c r="BG226" s="287"/>
      <c r="BH226" s="287"/>
      <c r="BI226" s="287"/>
      <c r="BJ226" s="287"/>
      <c r="BK226" s="287"/>
      <c r="BL226" s="287"/>
      <c r="BM226" s="287"/>
      <c r="BN226" s="287"/>
      <c r="BO226" s="287"/>
      <c r="BP226" s="287"/>
      <c r="BQ226" s="287"/>
      <c r="BR226" s="287"/>
      <c r="BS226" s="287"/>
      <c r="BT226" s="287"/>
      <c r="BU226" s="287"/>
      <c r="BV226" s="287"/>
      <c r="BW226" s="287"/>
      <c r="BX226" s="286"/>
      <c r="BY226" s="289"/>
      <c r="BZ226" s="289"/>
      <c r="CA226" s="289"/>
      <c r="CB226" s="289"/>
      <c r="CC226" s="289"/>
      <c r="CD226" s="289"/>
      <c r="CE226" s="289"/>
      <c r="CF226" s="289"/>
      <c r="CG226" s="287"/>
      <c r="CH226" s="287"/>
      <c r="CI226" s="287"/>
      <c r="CJ226" s="287"/>
      <c r="CK226" s="287"/>
      <c r="CL226" s="287"/>
      <c r="CM226" s="287"/>
      <c r="CN226" s="287"/>
      <c r="CO226" s="287"/>
      <c r="CP226" s="287"/>
      <c r="CQ226" s="287"/>
      <c r="CR226" s="287"/>
      <c r="CS226" s="288">
        <f>I226</f>
        <v>11.100000000000001</v>
      </c>
      <c r="CT226" s="6"/>
      <c r="CU226" s="6"/>
      <c r="CV226" s="6"/>
      <c r="CW226" s="6"/>
      <c r="CX226" s="6"/>
      <c r="CY226" s="6"/>
      <c r="CZ226" s="6"/>
      <c r="DA226" s="343">
        <f t="shared" si="6"/>
        <v>7.7000000000000011</v>
      </c>
    </row>
    <row r="227" spans="1:105" ht="20" customHeight="1" x14ac:dyDescent="0.35">
      <c r="A227" s="301"/>
      <c r="B227" s="311" t="s">
        <v>833</v>
      </c>
      <c r="C227" s="270" t="s">
        <v>1413</v>
      </c>
      <c r="D227" s="270"/>
      <c r="E227" s="270" t="s">
        <v>34</v>
      </c>
      <c r="F227" s="270" t="s">
        <v>1048</v>
      </c>
      <c r="G227" s="270" t="s">
        <v>39</v>
      </c>
      <c r="H227" s="298">
        <f>H223/30*2</f>
        <v>5.1333333333333337</v>
      </c>
      <c r="I227" s="286"/>
      <c r="J227" s="286"/>
      <c r="K227" s="286"/>
      <c r="L227" s="286"/>
      <c r="M227" s="286"/>
      <c r="N227" s="286"/>
      <c r="O227" s="286"/>
      <c r="P227" s="286"/>
      <c r="Q227" s="286"/>
      <c r="R227" s="286"/>
      <c r="S227" s="286"/>
      <c r="T227" s="286"/>
      <c r="U227" s="286"/>
      <c r="V227" s="294"/>
      <c r="W227" s="286"/>
      <c r="X227" s="286"/>
      <c r="Y227" s="286"/>
      <c r="Z227" s="286"/>
      <c r="AA227" s="286"/>
      <c r="AB227" s="286"/>
      <c r="AC227" s="286"/>
      <c r="AD227" s="286"/>
      <c r="AE227" s="286"/>
      <c r="AF227" s="286"/>
      <c r="AG227" s="286"/>
      <c r="AH227" s="286"/>
      <c r="AI227" s="286"/>
      <c r="AJ227" s="286"/>
      <c r="AK227" s="287"/>
      <c r="AL227" s="288"/>
      <c r="AM227" s="287"/>
      <c r="AN227" s="287"/>
      <c r="AO227" s="287"/>
      <c r="AP227" s="286"/>
      <c r="AQ227" s="296"/>
      <c r="AR227" s="286"/>
      <c r="AS227" s="286"/>
      <c r="AT227" s="286"/>
      <c r="AU227" s="286"/>
      <c r="AV227" s="286"/>
      <c r="AW227" s="286"/>
      <c r="AX227" s="286"/>
      <c r="AY227" s="286"/>
      <c r="AZ227" s="286"/>
      <c r="BA227" s="286"/>
      <c r="BB227" s="286"/>
      <c r="BC227" s="286"/>
      <c r="BD227" s="287"/>
      <c r="BE227" s="287"/>
      <c r="BF227" s="287"/>
      <c r="BG227" s="287"/>
      <c r="BH227" s="287"/>
      <c r="BI227" s="287"/>
      <c r="BJ227" s="287"/>
      <c r="BK227" s="287"/>
      <c r="BL227" s="287"/>
      <c r="BM227" s="287"/>
      <c r="BN227" s="287"/>
      <c r="BO227" s="287"/>
      <c r="BP227" s="287"/>
      <c r="BQ227" s="287"/>
      <c r="BR227" s="287"/>
      <c r="BS227" s="287"/>
      <c r="BT227" s="287"/>
      <c r="BU227" s="287"/>
      <c r="BV227" s="287"/>
      <c r="BW227" s="287"/>
      <c r="BX227" s="286"/>
      <c r="BY227" s="289"/>
      <c r="BZ227" s="289"/>
      <c r="CA227" s="289"/>
      <c r="CB227" s="289"/>
      <c r="CC227" s="289"/>
      <c r="CD227" s="289"/>
      <c r="CE227" s="289"/>
      <c r="CF227" s="289"/>
      <c r="CG227" s="287"/>
      <c r="CH227" s="287"/>
      <c r="CI227" s="287"/>
      <c r="CJ227" s="287"/>
      <c r="CK227" s="287"/>
      <c r="CL227" s="287"/>
      <c r="CM227" s="287"/>
      <c r="CN227" s="287"/>
      <c r="CO227" s="287"/>
      <c r="CP227" s="287"/>
      <c r="CQ227" s="287"/>
      <c r="CR227" s="287"/>
      <c r="CS227" s="6"/>
      <c r="CT227" s="6"/>
      <c r="CU227" s="6"/>
      <c r="CV227" s="6"/>
      <c r="CW227" s="6"/>
      <c r="CX227" s="6"/>
      <c r="CY227" s="6"/>
      <c r="CZ227" s="6"/>
      <c r="DA227" s="343">
        <f t="shared" si="6"/>
        <v>5.1333333333333337</v>
      </c>
    </row>
    <row r="228" spans="1:105" ht="20" customHeight="1" x14ac:dyDescent="0.35">
      <c r="A228" s="301"/>
      <c r="B228" s="311" t="s">
        <v>834</v>
      </c>
      <c r="C228" s="270" t="s">
        <v>1413</v>
      </c>
      <c r="D228" s="270"/>
      <c r="E228" s="270" t="s">
        <v>615</v>
      </c>
      <c r="F228" s="270" t="s">
        <v>62</v>
      </c>
      <c r="G228" s="270" t="s">
        <v>39</v>
      </c>
      <c r="H228" s="298">
        <f>H223/30</f>
        <v>2.5666666666666669</v>
      </c>
      <c r="I228" s="286"/>
      <c r="J228" s="286"/>
      <c r="K228" s="286"/>
      <c r="L228" s="286"/>
      <c r="M228" s="286"/>
      <c r="N228" s="286"/>
      <c r="O228" s="286"/>
      <c r="P228" s="286"/>
      <c r="Q228" s="286"/>
      <c r="R228" s="286"/>
      <c r="S228" s="286"/>
      <c r="T228" s="286"/>
      <c r="U228" s="286"/>
      <c r="V228" s="294"/>
      <c r="W228" s="286"/>
      <c r="X228" s="286"/>
      <c r="Y228" s="286"/>
      <c r="Z228" s="286"/>
      <c r="AA228" s="286"/>
      <c r="AB228" s="286"/>
      <c r="AC228" s="286"/>
      <c r="AD228" s="286"/>
      <c r="AE228" s="286"/>
      <c r="AF228" s="286"/>
      <c r="AG228" s="286"/>
      <c r="AH228" s="286"/>
      <c r="AI228" s="286"/>
      <c r="AJ228" s="286"/>
      <c r="AK228" s="287"/>
      <c r="AL228" s="288"/>
      <c r="AM228" s="287"/>
      <c r="AN228" s="287"/>
      <c r="AO228" s="287"/>
      <c r="AP228" s="286"/>
      <c r="AQ228" s="296"/>
      <c r="AR228" s="286"/>
      <c r="AS228" s="286"/>
      <c r="AT228" s="286"/>
      <c r="AU228" s="286"/>
      <c r="AV228" s="286"/>
      <c r="AW228" s="286"/>
      <c r="AX228" s="286"/>
      <c r="AY228" s="286"/>
      <c r="AZ228" s="286"/>
      <c r="BA228" s="286"/>
      <c r="BB228" s="286"/>
      <c r="BC228" s="286"/>
      <c r="BD228" s="287"/>
      <c r="BE228" s="287"/>
      <c r="BF228" s="287"/>
      <c r="BG228" s="287"/>
      <c r="BH228" s="287"/>
      <c r="BI228" s="287"/>
      <c r="BJ228" s="287"/>
      <c r="BK228" s="287"/>
      <c r="BL228" s="287"/>
      <c r="BM228" s="287"/>
      <c r="BN228" s="287"/>
      <c r="BO228" s="287"/>
      <c r="BP228" s="287"/>
      <c r="BQ228" s="287"/>
      <c r="BR228" s="287"/>
      <c r="BS228" s="287"/>
      <c r="BT228" s="287"/>
      <c r="BU228" s="287"/>
      <c r="BV228" s="287"/>
      <c r="BW228" s="287"/>
      <c r="BX228" s="286"/>
      <c r="BY228" s="289"/>
      <c r="BZ228" s="289"/>
      <c r="CA228" s="289"/>
      <c r="CB228" s="289"/>
      <c r="CC228" s="289"/>
      <c r="CD228" s="289"/>
      <c r="CE228" s="289"/>
      <c r="CF228" s="289"/>
      <c r="CG228" s="287"/>
      <c r="CH228" s="287"/>
      <c r="CI228" s="287"/>
      <c r="CJ228" s="287"/>
      <c r="CK228" s="287"/>
      <c r="CL228" s="287"/>
      <c r="CM228" s="287"/>
      <c r="CN228" s="287"/>
      <c r="CO228" s="287"/>
      <c r="CP228" s="287"/>
      <c r="CQ228" s="287"/>
      <c r="CR228" s="287"/>
      <c r="CS228" s="6"/>
      <c r="CT228" s="6"/>
      <c r="CU228" s="6"/>
      <c r="CV228" s="6"/>
      <c r="CW228" s="6"/>
      <c r="CX228" s="6"/>
      <c r="CY228" s="6"/>
      <c r="CZ228" s="6"/>
      <c r="DA228" s="343">
        <f t="shared" si="6"/>
        <v>2.5666666666666669</v>
      </c>
    </row>
    <row r="229" spans="1:105" ht="20" customHeight="1" x14ac:dyDescent="0.35">
      <c r="A229" s="301"/>
      <c r="B229" s="311" t="s">
        <v>835</v>
      </c>
      <c r="C229" s="270" t="s">
        <v>1413</v>
      </c>
      <c r="D229" s="270"/>
      <c r="E229" s="270" t="s">
        <v>615</v>
      </c>
      <c r="F229" s="270" t="s">
        <v>599</v>
      </c>
      <c r="G229" s="270" t="s">
        <v>39</v>
      </c>
      <c r="H229" s="298">
        <f>H223/30/2</f>
        <v>1.2833333333333334</v>
      </c>
      <c r="I229" s="286"/>
      <c r="J229" s="286"/>
      <c r="K229" s="286"/>
      <c r="L229" s="286"/>
      <c r="M229" s="286"/>
      <c r="N229" s="286"/>
      <c r="O229" s="286"/>
      <c r="P229" s="286"/>
      <c r="Q229" s="286"/>
      <c r="R229" s="286"/>
      <c r="S229" s="286"/>
      <c r="T229" s="286"/>
      <c r="U229" s="286"/>
      <c r="V229" s="294"/>
      <c r="W229" s="286"/>
      <c r="X229" s="286"/>
      <c r="Y229" s="286"/>
      <c r="Z229" s="286"/>
      <c r="AA229" s="286"/>
      <c r="AB229" s="286"/>
      <c r="AC229" s="286"/>
      <c r="AD229" s="286"/>
      <c r="AE229" s="286"/>
      <c r="AF229" s="286"/>
      <c r="AG229" s="286"/>
      <c r="AH229" s="286"/>
      <c r="AI229" s="286"/>
      <c r="AJ229" s="286"/>
      <c r="AK229" s="287"/>
      <c r="AL229" s="288"/>
      <c r="AM229" s="287"/>
      <c r="AN229" s="287"/>
      <c r="AO229" s="287"/>
      <c r="AP229" s="286"/>
      <c r="AQ229" s="296"/>
      <c r="AR229" s="286"/>
      <c r="AS229" s="286"/>
      <c r="AT229" s="286"/>
      <c r="AU229" s="286"/>
      <c r="AV229" s="286"/>
      <c r="AW229" s="286"/>
      <c r="AX229" s="286"/>
      <c r="AY229" s="286"/>
      <c r="AZ229" s="286"/>
      <c r="BA229" s="286"/>
      <c r="BB229" s="286"/>
      <c r="BC229" s="286"/>
      <c r="BD229" s="287"/>
      <c r="BE229" s="287"/>
      <c r="BF229" s="287"/>
      <c r="BG229" s="287"/>
      <c r="BH229" s="287"/>
      <c r="BI229" s="287"/>
      <c r="BJ229" s="287"/>
      <c r="BK229" s="287"/>
      <c r="BL229" s="287"/>
      <c r="BM229" s="287"/>
      <c r="BN229" s="287"/>
      <c r="BO229" s="287"/>
      <c r="BP229" s="287"/>
      <c r="BQ229" s="287"/>
      <c r="BR229" s="287"/>
      <c r="BS229" s="287"/>
      <c r="BT229" s="287"/>
      <c r="BU229" s="287"/>
      <c r="BV229" s="287"/>
      <c r="BW229" s="287"/>
      <c r="BX229" s="286"/>
      <c r="BY229" s="289"/>
      <c r="BZ229" s="289"/>
      <c r="CA229" s="289"/>
      <c r="CB229" s="289"/>
      <c r="CC229" s="289"/>
      <c r="CD229" s="289"/>
      <c r="CE229" s="289"/>
      <c r="CF229" s="289"/>
      <c r="CG229" s="287"/>
      <c r="CH229" s="287"/>
      <c r="CI229" s="287"/>
      <c r="CJ229" s="287"/>
      <c r="CK229" s="287"/>
      <c r="CL229" s="287"/>
      <c r="CM229" s="287"/>
      <c r="CN229" s="287"/>
      <c r="CO229" s="287"/>
      <c r="CP229" s="287"/>
      <c r="CQ229" s="287"/>
      <c r="CR229" s="287"/>
      <c r="CS229" s="6"/>
      <c r="CT229" s="6"/>
      <c r="CU229" s="6"/>
      <c r="CV229" s="6"/>
      <c r="CW229" s="6"/>
      <c r="CX229" s="6"/>
      <c r="CY229" s="6"/>
      <c r="CZ229" s="6"/>
      <c r="DA229" s="343">
        <f t="shared" si="6"/>
        <v>1.2833333333333334</v>
      </c>
    </row>
    <row r="230" spans="1:105" ht="20" customHeight="1" x14ac:dyDescent="0.35">
      <c r="A230" s="301">
        <v>4000005592</v>
      </c>
      <c r="B230" s="270" t="s">
        <v>836</v>
      </c>
      <c r="C230" s="270" t="s">
        <v>228</v>
      </c>
      <c r="D230" s="270"/>
      <c r="E230" s="270" t="s">
        <v>46</v>
      </c>
      <c r="F230" s="270" t="s">
        <v>422</v>
      </c>
      <c r="G230" s="270" t="s">
        <v>39</v>
      </c>
      <c r="H230" s="349">
        <v>60</v>
      </c>
      <c r="I230" s="286"/>
      <c r="J230" s="286"/>
      <c r="K230" s="286">
        <v>77</v>
      </c>
      <c r="L230" s="286">
        <v>80</v>
      </c>
      <c r="M230" s="400"/>
      <c r="N230" s="286"/>
      <c r="O230" s="286"/>
      <c r="P230" s="286"/>
      <c r="Q230" s="286"/>
      <c r="R230" s="286"/>
      <c r="S230" s="286"/>
      <c r="T230" s="286"/>
      <c r="U230" s="286"/>
      <c r="V230" s="294"/>
      <c r="W230" s="286"/>
      <c r="X230" s="286"/>
      <c r="Y230" s="286"/>
      <c r="Z230" s="286"/>
      <c r="AA230" s="286"/>
      <c r="AB230" s="286"/>
      <c r="AC230" s="286"/>
      <c r="AD230" s="286"/>
      <c r="AE230" s="286"/>
      <c r="AF230" s="286"/>
      <c r="AG230" s="286"/>
      <c r="AH230" s="286"/>
      <c r="AI230" s="286"/>
      <c r="AJ230" s="286"/>
      <c r="AK230" s="287"/>
      <c r="AL230" s="288"/>
      <c r="AM230" s="287"/>
      <c r="AN230" s="287"/>
      <c r="AO230" s="287"/>
      <c r="AP230" s="286"/>
      <c r="AQ230" s="296"/>
      <c r="AR230" s="286"/>
      <c r="AS230" s="286"/>
      <c r="AT230" s="286"/>
      <c r="AU230" s="286"/>
      <c r="AV230" s="286"/>
      <c r="AW230" s="286"/>
      <c r="AX230" s="286"/>
      <c r="AY230" s="286"/>
      <c r="AZ230" s="286"/>
      <c r="BA230" s="286"/>
      <c r="BB230" s="286"/>
      <c r="BC230" s="286"/>
      <c r="BD230" s="287"/>
      <c r="BE230" s="287"/>
      <c r="BF230" s="287"/>
      <c r="BG230" s="287"/>
      <c r="BH230" s="287"/>
      <c r="BI230" s="287"/>
      <c r="BJ230" s="287"/>
      <c r="BK230" s="287"/>
      <c r="BL230" s="287"/>
      <c r="BM230" s="287"/>
      <c r="BN230" s="287"/>
      <c r="BO230" s="287"/>
      <c r="BP230" s="287"/>
      <c r="BQ230" s="287"/>
      <c r="BR230" s="287"/>
      <c r="BS230" s="287"/>
      <c r="BT230" s="287"/>
      <c r="BU230" s="287"/>
      <c r="BV230" s="287"/>
      <c r="BW230" s="287"/>
      <c r="BX230" s="286"/>
      <c r="BY230" s="289"/>
      <c r="BZ230" s="289"/>
      <c r="CA230" s="289"/>
      <c r="CB230" s="289"/>
      <c r="CC230" s="289"/>
      <c r="CD230" s="289"/>
      <c r="CE230" s="289"/>
      <c r="CF230" s="289"/>
      <c r="CG230" s="287"/>
      <c r="CH230" s="287"/>
      <c r="CI230" s="287"/>
      <c r="CJ230" s="287"/>
      <c r="CK230" s="287"/>
      <c r="CL230" s="287"/>
      <c r="CM230" s="287"/>
      <c r="CN230" s="287"/>
      <c r="CO230" s="287"/>
      <c r="CP230" s="287"/>
      <c r="CQ230" s="287"/>
      <c r="CR230" s="287"/>
      <c r="CS230" s="6"/>
      <c r="CT230" s="6"/>
      <c r="CU230" s="6"/>
      <c r="CV230" s="6"/>
      <c r="CW230" s="6"/>
      <c r="CX230" s="6"/>
      <c r="CY230" s="6"/>
      <c r="CZ230" s="6"/>
      <c r="DA230" s="343">
        <f t="shared" si="6"/>
        <v>60</v>
      </c>
    </row>
    <row r="231" spans="1:105" ht="20" customHeight="1" x14ac:dyDescent="0.35">
      <c r="A231" s="290">
        <v>520698</v>
      </c>
      <c r="B231" s="270" t="s">
        <v>837</v>
      </c>
      <c r="C231" s="270" t="s">
        <v>228</v>
      </c>
      <c r="D231" s="297" t="s">
        <v>312</v>
      </c>
      <c r="E231" s="270" t="s">
        <v>34</v>
      </c>
      <c r="F231" s="270" t="s">
        <v>531</v>
      </c>
      <c r="G231" s="270" t="s">
        <v>39</v>
      </c>
      <c r="H231" s="298">
        <f>H230/25*5</f>
        <v>12</v>
      </c>
      <c r="I231" s="292">
        <v>18</v>
      </c>
      <c r="J231" s="292">
        <v>18</v>
      </c>
      <c r="K231" s="286"/>
      <c r="L231" s="286">
        <v>18</v>
      </c>
      <c r="M231" s="286"/>
      <c r="N231" s="292">
        <v>18</v>
      </c>
      <c r="O231" s="286">
        <v>18</v>
      </c>
      <c r="P231" s="292">
        <v>18</v>
      </c>
      <c r="Q231" s="286">
        <v>18</v>
      </c>
      <c r="R231" s="286">
        <v>18</v>
      </c>
      <c r="S231" s="286">
        <v>19</v>
      </c>
      <c r="T231" s="286">
        <v>18</v>
      </c>
      <c r="U231" s="286"/>
      <c r="V231" s="294"/>
      <c r="W231" s="286"/>
      <c r="X231" s="286"/>
      <c r="Y231" s="286"/>
      <c r="Z231" s="286"/>
      <c r="AA231" s="286"/>
      <c r="AB231" s="286"/>
      <c r="AC231" s="286">
        <v>18</v>
      </c>
      <c r="AD231" s="286"/>
      <c r="AE231" s="286"/>
      <c r="AF231" s="286"/>
      <c r="AG231" s="286">
        <v>18</v>
      </c>
      <c r="AH231" s="286"/>
      <c r="AI231" s="286">
        <v>18</v>
      </c>
      <c r="AJ231" s="286"/>
      <c r="AK231" s="295">
        <v>18</v>
      </c>
      <c r="AL231" s="288">
        <v>18</v>
      </c>
      <c r="AM231" s="287"/>
      <c r="AN231" s="287"/>
      <c r="AO231" s="287">
        <v>18</v>
      </c>
      <c r="AP231" s="286">
        <v>18</v>
      </c>
      <c r="AQ231" s="296">
        <v>18</v>
      </c>
      <c r="AR231" s="286">
        <v>18</v>
      </c>
      <c r="AS231" s="286"/>
      <c r="AT231" s="286">
        <v>18</v>
      </c>
      <c r="AU231" s="286">
        <v>18</v>
      </c>
      <c r="AV231" s="286">
        <v>18</v>
      </c>
      <c r="AW231" s="286">
        <v>18</v>
      </c>
      <c r="AX231" s="286">
        <v>18</v>
      </c>
      <c r="AY231" s="286">
        <v>18</v>
      </c>
      <c r="AZ231" s="286">
        <v>18</v>
      </c>
      <c r="BA231" s="286">
        <v>18</v>
      </c>
      <c r="BB231" s="286">
        <f>BA231</f>
        <v>18</v>
      </c>
      <c r="BC231" s="286">
        <v>18</v>
      </c>
      <c r="BD231" s="287"/>
      <c r="BE231" s="286">
        <v>18</v>
      </c>
      <c r="BF231" s="287"/>
      <c r="BG231" s="288">
        <v>16</v>
      </c>
      <c r="BH231" s="286">
        <v>18</v>
      </c>
      <c r="BI231" s="287"/>
      <c r="BJ231" s="287"/>
      <c r="BK231" s="287"/>
      <c r="BL231" s="287"/>
      <c r="BM231" s="287"/>
      <c r="BN231" s="287"/>
      <c r="BO231" s="287"/>
      <c r="BP231" s="287"/>
      <c r="BQ231" s="287"/>
      <c r="BR231" s="287"/>
      <c r="BS231" s="287"/>
      <c r="BT231" s="287"/>
      <c r="BU231" s="287">
        <v>18</v>
      </c>
      <c r="BV231" s="287"/>
      <c r="BW231" s="287"/>
      <c r="BX231" s="286">
        <f>J231</f>
        <v>18</v>
      </c>
      <c r="BY231" s="289"/>
      <c r="BZ231" s="289">
        <v>18</v>
      </c>
      <c r="CA231" s="289"/>
      <c r="CB231" s="289"/>
      <c r="CC231" s="289"/>
      <c r="CD231" s="289"/>
      <c r="CE231" s="289"/>
      <c r="CF231" s="289"/>
      <c r="CG231" s="287"/>
      <c r="CH231" s="287"/>
      <c r="CI231" s="287"/>
      <c r="CJ231" s="287"/>
      <c r="CK231" s="287"/>
      <c r="CL231" s="287"/>
      <c r="CM231" s="292">
        <v>18</v>
      </c>
      <c r="CN231" s="292">
        <v>18</v>
      </c>
      <c r="CO231" s="292">
        <v>18</v>
      </c>
      <c r="CP231" s="287"/>
      <c r="CQ231" s="287">
        <v>18</v>
      </c>
      <c r="CR231" s="292">
        <v>18</v>
      </c>
      <c r="CS231" s="288">
        <f>I231</f>
        <v>18</v>
      </c>
      <c r="CT231" s="6"/>
      <c r="CU231" s="6"/>
      <c r="CV231" s="6"/>
      <c r="CW231" s="6"/>
      <c r="CX231" s="6"/>
      <c r="CY231" s="6"/>
      <c r="CZ231" s="6"/>
      <c r="DA231" s="343">
        <f t="shared" si="6"/>
        <v>12</v>
      </c>
    </row>
    <row r="232" spans="1:105" ht="20" customHeight="1" x14ac:dyDescent="0.35">
      <c r="A232" s="290"/>
      <c r="B232" s="270" t="s">
        <v>838</v>
      </c>
      <c r="C232" s="270" t="s">
        <v>228</v>
      </c>
      <c r="D232" s="270"/>
      <c r="E232" s="270" t="s">
        <v>327</v>
      </c>
      <c r="F232" s="270" t="s">
        <v>62</v>
      </c>
      <c r="G232" s="270" t="s">
        <v>39</v>
      </c>
      <c r="H232" s="298">
        <f>H230/25*1</f>
        <v>2.4</v>
      </c>
      <c r="I232" s="286"/>
      <c r="J232" s="286"/>
      <c r="K232" s="286"/>
      <c r="L232" s="286">
        <v>4</v>
      </c>
      <c r="M232" s="286"/>
      <c r="N232" s="286"/>
      <c r="O232" s="286"/>
      <c r="P232" s="286"/>
      <c r="Q232" s="286"/>
      <c r="R232" s="286"/>
      <c r="S232" s="286"/>
      <c r="T232" s="286"/>
      <c r="U232" s="286"/>
      <c r="V232" s="294"/>
      <c r="W232" s="286"/>
      <c r="X232" s="286"/>
      <c r="Y232" s="286"/>
      <c r="Z232" s="286"/>
      <c r="AA232" s="286"/>
      <c r="AB232" s="286"/>
      <c r="AC232" s="286"/>
      <c r="AD232" s="286"/>
      <c r="AE232" s="286"/>
      <c r="AF232" s="286"/>
      <c r="AG232" s="286"/>
      <c r="AH232" s="286"/>
      <c r="AI232" s="286"/>
      <c r="AJ232" s="286">
        <v>4</v>
      </c>
      <c r="AK232" s="287"/>
      <c r="AL232" s="288"/>
      <c r="AM232" s="287"/>
      <c r="AN232" s="287"/>
      <c r="AO232" s="287"/>
      <c r="AP232" s="286"/>
      <c r="AQ232" s="296"/>
      <c r="AR232" s="286"/>
      <c r="AS232" s="286"/>
      <c r="AT232" s="286"/>
      <c r="AU232" s="286"/>
      <c r="AV232" s="286"/>
      <c r="AW232" s="286"/>
      <c r="AX232" s="286"/>
      <c r="AY232" s="286"/>
      <c r="AZ232" s="286"/>
      <c r="BA232" s="286"/>
      <c r="BB232" s="286"/>
      <c r="BC232" s="286"/>
      <c r="BD232" s="287"/>
      <c r="BE232" s="287"/>
      <c r="BF232" s="287"/>
      <c r="BG232" s="287"/>
      <c r="BH232" s="287"/>
      <c r="BI232" s="287"/>
      <c r="BJ232" s="287"/>
      <c r="BK232" s="287"/>
      <c r="BL232" s="287"/>
      <c r="BM232" s="287"/>
      <c r="BN232" s="287"/>
      <c r="BO232" s="287"/>
      <c r="BP232" s="287"/>
      <c r="BQ232" s="287"/>
      <c r="BR232" s="287"/>
      <c r="BS232" s="287"/>
      <c r="BT232" s="287"/>
      <c r="BU232" s="287"/>
      <c r="BV232" s="287"/>
      <c r="BW232" s="287"/>
      <c r="BX232" s="286"/>
      <c r="BY232" s="289"/>
      <c r="BZ232" s="289"/>
      <c r="CA232" s="289"/>
      <c r="CB232" s="289"/>
      <c r="CC232" s="289"/>
      <c r="CD232" s="289"/>
      <c r="CE232" s="289"/>
      <c r="CF232" s="289"/>
      <c r="CG232" s="287"/>
      <c r="CH232" s="287"/>
      <c r="CI232" s="287"/>
      <c r="CJ232" s="287"/>
      <c r="CK232" s="287"/>
      <c r="CL232" s="287"/>
      <c r="CM232" s="287"/>
      <c r="CN232" s="287"/>
      <c r="CO232" s="287"/>
      <c r="CP232" s="287"/>
      <c r="CQ232" s="287"/>
      <c r="CR232" s="287"/>
      <c r="CS232" s="6"/>
      <c r="CT232" s="6"/>
      <c r="CU232" s="6"/>
      <c r="CV232" s="6"/>
      <c r="CW232" s="6"/>
      <c r="CX232" s="6"/>
      <c r="CY232" s="6"/>
      <c r="CZ232" s="6"/>
      <c r="DA232" s="343">
        <f t="shared" si="6"/>
        <v>2.4</v>
      </c>
    </row>
    <row r="233" spans="1:105" ht="20" customHeight="1" x14ac:dyDescent="0.35">
      <c r="A233" s="290"/>
      <c r="B233" s="270" t="s">
        <v>839</v>
      </c>
      <c r="C233" s="270" t="s">
        <v>228</v>
      </c>
      <c r="D233" s="270"/>
      <c r="E233" s="270" t="s">
        <v>327</v>
      </c>
      <c r="F233" s="270" t="s">
        <v>1381</v>
      </c>
      <c r="G233" s="270" t="s">
        <v>39</v>
      </c>
      <c r="H233" s="298">
        <f>H232/1000*750</f>
        <v>1.7999999999999998</v>
      </c>
      <c r="I233" s="286"/>
      <c r="J233" s="286"/>
      <c r="K233" s="286"/>
      <c r="L233" s="286"/>
      <c r="M233" s="286"/>
      <c r="N233" s="286"/>
      <c r="O233" s="286"/>
      <c r="P233" s="286"/>
      <c r="Q233" s="286"/>
      <c r="R233" s="286"/>
      <c r="S233" s="286"/>
      <c r="T233" s="286"/>
      <c r="U233" s="286"/>
      <c r="V233" s="294"/>
      <c r="W233" s="286"/>
      <c r="X233" s="286"/>
      <c r="Y233" s="286"/>
      <c r="Z233" s="286"/>
      <c r="AA233" s="286"/>
      <c r="AB233" s="286"/>
      <c r="AC233" s="286"/>
      <c r="AD233" s="286"/>
      <c r="AE233" s="286"/>
      <c r="AF233" s="286"/>
      <c r="AG233" s="286"/>
      <c r="AH233" s="286"/>
      <c r="AI233" s="286"/>
      <c r="AJ233" s="286"/>
      <c r="AK233" s="287"/>
      <c r="AL233" s="288"/>
      <c r="AM233" s="287"/>
      <c r="AN233" s="287"/>
      <c r="AO233" s="287"/>
      <c r="AP233" s="286"/>
      <c r="AQ233" s="296"/>
      <c r="AR233" s="286"/>
      <c r="AS233" s="286"/>
      <c r="AT233" s="286"/>
      <c r="AU233" s="286"/>
      <c r="AV233" s="286"/>
      <c r="AW233" s="286"/>
      <c r="AX233" s="286"/>
      <c r="AY233" s="286"/>
      <c r="AZ233" s="286"/>
      <c r="BA233" s="286"/>
      <c r="BB233" s="286"/>
      <c r="BC233" s="286"/>
      <c r="BD233" s="287"/>
      <c r="BE233" s="287"/>
      <c r="BF233" s="287"/>
      <c r="BG233" s="287"/>
      <c r="BH233" s="287"/>
      <c r="BI233" s="287"/>
      <c r="BJ233" s="287"/>
      <c r="BK233" s="287"/>
      <c r="BL233" s="287"/>
      <c r="BM233" s="287"/>
      <c r="BN233" s="287"/>
      <c r="BO233" s="287"/>
      <c r="BP233" s="287"/>
      <c r="BQ233" s="287"/>
      <c r="BR233" s="287"/>
      <c r="BS233" s="287"/>
      <c r="BT233" s="287"/>
      <c r="BU233" s="287"/>
      <c r="BV233" s="287"/>
      <c r="BW233" s="287"/>
      <c r="BX233" s="286"/>
      <c r="BY233" s="289"/>
      <c r="BZ233" s="289"/>
      <c r="CA233" s="289"/>
      <c r="CB233" s="289"/>
      <c r="CC233" s="289"/>
      <c r="CD233" s="289"/>
      <c r="CE233" s="289"/>
      <c r="CF233" s="289"/>
      <c r="CG233" s="287"/>
      <c r="CH233" s="287"/>
      <c r="CI233" s="287"/>
      <c r="CJ233" s="287"/>
      <c r="CK233" s="287"/>
      <c r="CL233" s="287"/>
      <c r="CM233" s="287"/>
      <c r="CN233" s="287"/>
      <c r="CO233" s="287"/>
      <c r="CP233" s="287"/>
      <c r="CQ233" s="287"/>
      <c r="CR233" s="287"/>
      <c r="CS233" s="6"/>
      <c r="CT233" s="6"/>
      <c r="CU233" s="6"/>
      <c r="CV233" s="6"/>
      <c r="CW233" s="6"/>
      <c r="CX233" s="6"/>
      <c r="CY233" s="6"/>
      <c r="CZ233" s="6"/>
      <c r="DA233" s="343">
        <f t="shared" si="6"/>
        <v>1.7999999999999998</v>
      </c>
    </row>
    <row r="234" spans="1:105" ht="20" customHeight="1" x14ac:dyDescent="0.35">
      <c r="A234" s="301">
        <v>4000005593</v>
      </c>
      <c r="B234" s="270" t="s">
        <v>840</v>
      </c>
      <c r="C234" s="270" t="s">
        <v>1615</v>
      </c>
      <c r="D234" s="270"/>
      <c r="E234" s="270" t="s">
        <v>517</v>
      </c>
      <c r="F234" s="270" t="s">
        <v>422</v>
      </c>
      <c r="G234" s="270" t="s">
        <v>39</v>
      </c>
      <c r="H234" s="298">
        <v>30</v>
      </c>
      <c r="I234" s="286"/>
      <c r="J234" s="286"/>
      <c r="K234" s="286">
        <v>46</v>
      </c>
      <c r="L234" s="286">
        <v>0</v>
      </c>
      <c r="M234" s="286"/>
      <c r="N234" s="286"/>
      <c r="O234" s="286"/>
      <c r="P234" s="286"/>
      <c r="Q234" s="286"/>
      <c r="R234" s="286"/>
      <c r="S234" s="286"/>
      <c r="T234" s="286"/>
      <c r="U234" s="286"/>
      <c r="V234" s="294"/>
      <c r="W234" s="286"/>
      <c r="X234" s="286"/>
      <c r="Y234" s="286"/>
      <c r="Z234" s="286"/>
      <c r="AA234" s="286"/>
      <c r="AB234" s="286"/>
      <c r="AC234" s="286"/>
      <c r="AD234" s="286"/>
      <c r="AE234" s="286"/>
      <c r="AF234" s="286"/>
      <c r="AG234" s="286"/>
      <c r="AH234" s="286"/>
      <c r="AI234" s="286"/>
      <c r="AJ234" s="286"/>
      <c r="AK234" s="287"/>
      <c r="AL234" s="288"/>
      <c r="AM234" s="287"/>
      <c r="AN234" s="287"/>
      <c r="AO234" s="287"/>
      <c r="AP234" s="286"/>
      <c r="AQ234" s="296"/>
      <c r="AR234" s="286"/>
      <c r="AS234" s="286"/>
      <c r="AT234" s="286"/>
      <c r="AU234" s="286"/>
      <c r="AV234" s="286"/>
      <c r="AW234" s="286"/>
      <c r="AX234" s="286"/>
      <c r="AY234" s="286"/>
      <c r="AZ234" s="286"/>
      <c r="BA234" s="286"/>
      <c r="BB234" s="286"/>
      <c r="BC234" s="286"/>
      <c r="BD234" s="287"/>
      <c r="BE234" s="287"/>
      <c r="BF234" s="287"/>
      <c r="BG234" s="287"/>
      <c r="BH234" s="287"/>
      <c r="BI234" s="287"/>
      <c r="BJ234" s="287"/>
      <c r="BK234" s="287"/>
      <c r="BL234" s="287"/>
      <c r="BM234" s="287"/>
      <c r="BN234" s="287"/>
      <c r="BO234" s="287"/>
      <c r="BP234" s="287"/>
      <c r="BQ234" s="287"/>
      <c r="BR234" s="287"/>
      <c r="BS234" s="287"/>
      <c r="BT234" s="287"/>
      <c r="BU234" s="287"/>
      <c r="BV234" s="287"/>
      <c r="BW234" s="287"/>
      <c r="BX234" s="286"/>
      <c r="BY234" s="289"/>
      <c r="BZ234" s="289"/>
      <c r="CA234" s="289"/>
      <c r="CB234" s="289"/>
      <c r="CC234" s="289"/>
      <c r="CD234" s="289"/>
      <c r="CE234" s="289"/>
      <c r="CF234" s="289"/>
      <c r="CG234" s="287"/>
      <c r="CH234" s="287"/>
      <c r="CI234" s="287"/>
      <c r="CJ234" s="287"/>
      <c r="CK234" s="287"/>
      <c r="CL234" s="287"/>
      <c r="CM234" s="287"/>
      <c r="CN234" s="287"/>
      <c r="CO234" s="287"/>
      <c r="CP234" s="287"/>
      <c r="CQ234" s="287"/>
      <c r="CR234" s="287"/>
      <c r="CS234" s="6"/>
      <c r="CT234" s="6"/>
      <c r="CU234" s="6"/>
      <c r="CV234" s="6"/>
      <c r="CW234" s="6"/>
      <c r="CX234" s="6"/>
      <c r="CY234" s="6"/>
      <c r="CZ234" s="6"/>
      <c r="DA234" s="343">
        <f t="shared" si="6"/>
        <v>30</v>
      </c>
    </row>
    <row r="235" spans="1:105" ht="20" customHeight="1" x14ac:dyDescent="0.35">
      <c r="A235" s="290">
        <v>520787</v>
      </c>
      <c r="B235" s="270" t="s">
        <v>841</v>
      </c>
      <c r="C235" s="270" t="s">
        <v>1615</v>
      </c>
      <c r="D235" s="297" t="s">
        <v>517</v>
      </c>
      <c r="E235" s="270" t="s">
        <v>34</v>
      </c>
      <c r="F235" s="270" t="s">
        <v>613</v>
      </c>
      <c r="G235" s="270" t="s">
        <v>39</v>
      </c>
      <c r="H235" s="298">
        <f>H234/25*5</f>
        <v>6</v>
      </c>
      <c r="I235" s="292">
        <v>11</v>
      </c>
      <c r="J235" s="292">
        <v>10</v>
      </c>
      <c r="K235" s="286"/>
      <c r="L235" s="286"/>
      <c r="M235" s="286"/>
      <c r="N235" s="292">
        <v>10</v>
      </c>
      <c r="O235" s="286">
        <v>11</v>
      </c>
      <c r="P235" s="292">
        <v>10</v>
      </c>
      <c r="Q235" s="286">
        <v>10</v>
      </c>
      <c r="R235" s="300">
        <v>11</v>
      </c>
      <c r="S235" s="286">
        <v>10</v>
      </c>
      <c r="T235" s="286">
        <v>10</v>
      </c>
      <c r="U235" s="286"/>
      <c r="V235" s="294"/>
      <c r="W235" s="286"/>
      <c r="X235" s="286"/>
      <c r="Y235" s="286"/>
      <c r="Z235" s="286"/>
      <c r="AA235" s="286"/>
      <c r="AB235" s="286"/>
      <c r="AC235" s="286">
        <v>10</v>
      </c>
      <c r="AD235" s="286"/>
      <c r="AE235" s="286"/>
      <c r="AF235" s="286"/>
      <c r="AG235" s="286">
        <v>11</v>
      </c>
      <c r="AH235" s="286"/>
      <c r="AI235" s="286"/>
      <c r="AJ235" s="286"/>
      <c r="AK235" s="295">
        <v>11</v>
      </c>
      <c r="AL235" s="288"/>
      <c r="AM235" s="287"/>
      <c r="AN235" s="287"/>
      <c r="AO235" s="287"/>
      <c r="AP235" s="286">
        <v>10</v>
      </c>
      <c r="AQ235" s="296">
        <v>12</v>
      </c>
      <c r="AR235" s="286">
        <v>10</v>
      </c>
      <c r="AS235" s="286"/>
      <c r="AT235" s="286">
        <v>10</v>
      </c>
      <c r="AU235" s="286">
        <v>10</v>
      </c>
      <c r="AV235" s="286">
        <v>10</v>
      </c>
      <c r="AW235" s="286">
        <v>10</v>
      </c>
      <c r="AX235" s="286">
        <v>10</v>
      </c>
      <c r="AY235" s="286">
        <v>10</v>
      </c>
      <c r="AZ235" s="286">
        <v>10</v>
      </c>
      <c r="BA235" s="286">
        <v>10</v>
      </c>
      <c r="BB235" s="286"/>
      <c r="BC235" s="286">
        <v>10</v>
      </c>
      <c r="BD235" s="287"/>
      <c r="BE235" s="287"/>
      <c r="BF235" s="287"/>
      <c r="BG235" s="288">
        <v>10</v>
      </c>
      <c r="BH235" s="286">
        <v>10</v>
      </c>
      <c r="BI235" s="287"/>
      <c r="BJ235" s="287"/>
      <c r="BK235" s="287"/>
      <c r="BL235" s="287"/>
      <c r="BM235" s="287"/>
      <c r="BN235" s="287"/>
      <c r="BO235" s="287"/>
      <c r="BP235" s="287"/>
      <c r="BQ235" s="287"/>
      <c r="BR235" s="287"/>
      <c r="BS235" s="287"/>
      <c r="BT235" s="287"/>
      <c r="BU235" s="287"/>
      <c r="BV235" s="287"/>
      <c r="BW235" s="287"/>
      <c r="BX235" s="286">
        <v>10</v>
      </c>
      <c r="BY235" s="289"/>
      <c r="BZ235" s="289">
        <v>11</v>
      </c>
      <c r="CA235" s="289"/>
      <c r="CB235" s="289"/>
      <c r="CC235" s="289"/>
      <c r="CD235" s="289"/>
      <c r="CE235" s="289"/>
      <c r="CF235" s="289"/>
      <c r="CG235" s="287"/>
      <c r="CH235" s="287"/>
      <c r="CI235" s="287"/>
      <c r="CJ235" s="287"/>
      <c r="CK235" s="287"/>
      <c r="CL235" s="287"/>
      <c r="CM235" s="287"/>
      <c r="CN235" s="292">
        <v>10</v>
      </c>
      <c r="CO235" s="287"/>
      <c r="CP235" s="287"/>
      <c r="CQ235" s="287">
        <v>11</v>
      </c>
      <c r="CR235" s="287">
        <v>11</v>
      </c>
      <c r="CS235" s="288">
        <f>I235</f>
        <v>11</v>
      </c>
      <c r="CT235" s="6"/>
      <c r="CU235" s="6"/>
      <c r="CV235" s="6"/>
      <c r="CW235" s="6"/>
      <c r="CX235" s="6"/>
      <c r="CY235" s="6"/>
      <c r="CZ235" s="6"/>
      <c r="DA235" s="343">
        <f t="shared" ref="DA235:DA312" si="10">H235</f>
        <v>6</v>
      </c>
    </row>
    <row r="236" spans="1:105" ht="20" customHeight="1" x14ac:dyDescent="0.35">
      <c r="A236" s="290"/>
      <c r="B236" s="270" t="s">
        <v>842</v>
      </c>
      <c r="C236" s="270" t="s">
        <v>1615</v>
      </c>
      <c r="D236" s="270"/>
      <c r="E236" s="270" t="s">
        <v>34</v>
      </c>
      <c r="F236" s="270" t="s">
        <v>62</v>
      </c>
      <c r="G236" s="270" t="s">
        <v>39</v>
      </c>
      <c r="H236" s="298">
        <f>H234/25</f>
        <v>1.2</v>
      </c>
      <c r="I236" s="286"/>
      <c r="J236" s="286"/>
      <c r="K236" s="286"/>
      <c r="L236" s="286"/>
      <c r="M236" s="286"/>
      <c r="N236" s="286"/>
      <c r="O236" s="286"/>
      <c r="P236" s="286"/>
      <c r="Q236" s="286">
        <v>2.2999999999999998</v>
      </c>
      <c r="R236" s="286"/>
      <c r="S236" s="286"/>
      <c r="T236" s="286"/>
      <c r="U236" s="286"/>
      <c r="V236" s="294"/>
      <c r="W236" s="286"/>
      <c r="X236" s="286"/>
      <c r="Y236" s="286"/>
      <c r="Z236" s="286"/>
      <c r="AA236" s="286"/>
      <c r="AB236" s="286"/>
      <c r="AC236" s="286"/>
      <c r="AD236" s="286"/>
      <c r="AE236" s="286"/>
      <c r="AF236" s="286"/>
      <c r="AG236" s="286"/>
      <c r="AH236" s="286"/>
      <c r="AI236" s="286"/>
      <c r="AJ236" s="286"/>
      <c r="AK236" s="287"/>
      <c r="AL236" s="288"/>
      <c r="AM236" s="287"/>
      <c r="AN236" s="287"/>
      <c r="AO236" s="287"/>
      <c r="AP236" s="286"/>
      <c r="AQ236" s="296">
        <v>2</v>
      </c>
      <c r="AR236" s="286"/>
      <c r="AS236" s="286"/>
      <c r="AT236" s="286"/>
      <c r="AU236" s="286"/>
      <c r="AV236" s="286"/>
      <c r="AW236" s="286"/>
      <c r="AX236" s="286"/>
      <c r="AY236" s="286"/>
      <c r="AZ236" s="286"/>
      <c r="BA236" s="286"/>
      <c r="BB236" s="286"/>
      <c r="BC236" s="286"/>
      <c r="BD236" s="287"/>
      <c r="BE236" s="287"/>
      <c r="BF236" s="287"/>
      <c r="BG236" s="287"/>
      <c r="BH236" s="287"/>
      <c r="BI236" s="287"/>
      <c r="BJ236" s="287"/>
      <c r="BK236" s="287"/>
      <c r="BL236" s="287"/>
      <c r="BM236" s="287"/>
      <c r="BN236" s="287"/>
      <c r="BO236" s="287"/>
      <c r="BP236" s="287"/>
      <c r="BQ236" s="287"/>
      <c r="BR236" s="287"/>
      <c r="BS236" s="287"/>
      <c r="BT236" s="287"/>
      <c r="BU236" s="287"/>
      <c r="BV236" s="287"/>
      <c r="BW236" s="287"/>
      <c r="BX236" s="286"/>
      <c r="BY236" s="289"/>
      <c r="BZ236" s="289"/>
      <c r="CA236" s="289"/>
      <c r="CB236" s="289"/>
      <c r="CC236" s="289"/>
      <c r="CD236" s="289"/>
      <c r="CE236" s="289"/>
      <c r="CF236" s="289"/>
      <c r="CG236" s="287"/>
      <c r="CH236" s="287"/>
      <c r="CI236" s="287"/>
      <c r="CJ236" s="287"/>
      <c r="CK236" s="287"/>
      <c r="CL236" s="287"/>
      <c r="CM236" s="287"/>
      <c r="CN236" s="287"/>
      <c r="CO236" s="287"/>
      <c r="CP236" s="287"/>
      <c r="CQ236" s="287"/>
      <c r="CR236" s="287"/>
      <c r="CS236" s="6"/>
      <c r="CT236" s="6"/>
      <c r="CU236" s="6"/>
      <c r="CV236" s="6"/>
      <c r="CW236" s="6"/>
      <c r="CX236" s="6"/>
      <c r="CY236" s="6"/>
      <c r="CZ236" s="6"/>
      <c r="DA236" s="343">
        <f t="shared" si="10"/>
        <v>1.2</v>
      </c>
    </row>
    <row r="237" spans="1:105" ht="20" customHeight="1" x14ac:dyDescent="0.35">
      <c r="A237" s="290"/>
      <c r="B237" s="270" t="s">
        <v>843</v>
      </c>
      <c r="C237" s="270" t="s">
        <v>1615</v>
      </c>
      <c r="D237" s="270"/>
      <c r="E237" s="270" t="s">
        <v>34</v>
      </c>
      <c r="F237" s="270" t="s">
        <v>599</v>
      </c>
      <c r="G237" s="270" t="s">
        <v>39</v>
      </c>
      <c r="H237" s="298">
        <f>H236/2</f>
        <v>0.6</v>
      </c>
      <c r="I237" s="286"/>
      <c r="J237" s="286"/>
      <c r="K237" s="286"/>
      <c r="L237" s="286"/>
      <c r="M237" s="286"/>
      <c r="N237" s="286"/>
      <c r="O237" s="286"/>
      <c r="P237" s="286"/>
      <c r="Q237" s="286"/>
      <c r="R237" s="286"/>
      <c r="S237" s="286"/>
      <c r="T237" s="286"/>
      <c r="U237" s="286"/>
      <c r="V237" s="294"/>
      <c r="W237" s="286"/>
      <c r="X237" s="286"/>
      <c r="Y237" s="286"/>
      <c r="Z237" s="286"/>
      <c r="AA237" s="286"/>
      <c r="AB237" s="286"/>
      <c r="AC237" s="286"/>
      <c r="AD237" s="286"/>
      <c r="AE237" s="286"/>
      <c r="AF237" s="286"/>
      <c r="AG237" s="286"/>
      <c r="AH237" s="286"/>
      <c r="AI237" s="286"/>
      <c r="AJ237" s="286"/>
      <c r="AK237" s="287"/>
      <c r="AL237" s="288"/>
      <c r="AM237" s="287"/>
      <c r="AN237" s="287"/>
      <c r="AO237" s="287"/>
      <c r="AP237" s="286"/>
      <c r="AQ237" s="296"/>
      <c r="AR237" s="286"/>
      <c r="AS237" s="286"/>
      <c r="AT237" s="286"/>
      <c r="AU237" s="286"/>
      <c r="AV237" s="286"/>
      <c r="AW237" s="286"/>
      <c r="AX237" s="286"/>
      <c r="AY237" s="286"/>
      <c r="AZ237" s="286"/>
      <c r="BA237" s="286"/>
      <c r="BB237" s="286"/>
      <c r="BC237" s="286"/>
      <c r="BD237" s="287"/>
      <c r="BE237" s="287"/>
      <c r="BF237" s="287"/>
      <c r="BG237" s="287"/>
      <c r="BH237" s="287"/>
      <c r="BI237" s="287"/>
      <c r="BJ237" s="287"/>
      <c r="BK237" s="287"/>
      <c r="BL237" s="287"/>
      <c r="BM237" s="287"/>
      <c r="BN237" s="287"/>
      <c r="BO237" s="287"/>
      <c r="BP237" s="287"/>
      <c r="BQ237" s="287"/>
      <c r="BR237" s="287"/>
      <c r="BS237" s="287"/>
      <c r="BT237" s="287"/>
      <c r="BU237" s="287"/>
      <c r="BV237" s="287"/>
      <c r="BW237" s="287"/>
      <c r="BX237" s="286"/>
      <c r="BY237" s="289"/>
      <c r="BZ237" s="289"/>
      <c r="CA237" s="289"/>
      <c r="CB237" s="289"/>
      <c r="CC237" s="289"/>
      <c r="CD237" s="289"/>
      <c r="CE237" s="289"/>
      <c r="CF237" s="289"/>
      <c r="CG237" s="287"/>
      <c r="CH237" s="287"/>
      <c r="CI237" s="287"/>
      <c r="CJ237" s="287"/>
      <c r="CK237" s="287"/>
      <c r="CL237" s="287"/>
      <c r="CM237" s="287"/>
      <c r="CN237" s="287"/>
      <c r="CO237" s="287"/>
      <c r="CP237" s="287"/>
      <c r="CQ237" s="287"/>
      <c r="CR237" s="287"/>
      <c r="CS237" s="6"/>
      <c r="CT237" s="6"/>
      <c r="CU237" s="6"/>
      <c r="CV237" s="6"/>
      <c r="CW237" s="6"/>
      <c r="CX237" s="6"/>
      <c r="CY237" s="6"/>
      <c r="CZ237" s="6"/>
      <c r="DA237" s="343">
        <f t="shared" si="10"/>
        <v>0.6</v>
      </c>
    </row>
    <row r="238" spans="1:105" ht="20" customHeight="1" x14ac:dyDescent="0.35">
      <c r="A238" s="290"/>
      <c r="B238" s="270"/>
      <c r="C238" s="270"/>
      <c r="D238" s="297"/>
      <c r="E238" s="270"/>
      <c r="F238" s="270"/>
      <c r="G238" s="270"/>
      <c r="H238" s="298"/>
      <c r="I238" s="286"/>
      <c r="J238" s="286"/>
      <c r="K238" s="286"/>
      <c r="L238" s="286"/>
      <c r="M238" s="286"/>
      <c r="N238" s="286"/>
      <c r="O238" s="286"/>
      <c r="P238" s="286"/>
      <c r="Q238" s="286"/>
      <c r="R238" s="286"/>
      <c r="S238" s="286"/>
      <c r="T238" s="286"/>
      <c r="U238" s="286"/>
      <c r="V238" s="294"/>
      <c r="W238" s="286"/>
      <c r="X238" s="286"/>
      <c r="Y238" s="286"/>
      <c r="Z238" s="286"/>
      <c r="AA238" s="286"/>
      <c r="AB238" s="286"/>
      <c r="AC238" s="286"/>
      <c r="AD238" s="286"/>
      <c r="AE238" s="286"/>
      <c r="AF238" s="286"/>
      <c r="AG238" s="286"/>
      <c r="AH238" s="286"/>
      <c r="AI238" s="286"/>
      <c r="AJ238" s="286"/>
      <c r="AK238" s="287"/>
      <c r="AL238" s="288"/>
      <c r="AM238" s="287"/>
      <c r="AN238" s="287"/>
      <c r="AO238" s="287"/>
      <c r="AP238" s="286"/>
      <c r="AQ238" s="296"/>
      <c r="AR238" s="286"/>
      <c r="AS238" s="286"/>
      <c r="AT238" s="286"/>
      <c r="AU238" s="286"/>
      <c r="AV238" s="286"/>
      <c r="AW238" s="286"/>
      <c r="AX238" s="286"/>
      <c r="AY238" s="286"/>
      <c r="AZ238" s="286"/>
      <c r="BA238" s="286"/>
      <c r="BB238" s="286"/>
      <c r="BC238" s="286"/>
      <c r="BD238" s="287"/>
      <c r="BE238" s="287"/>
      <c r="BF238" s="287"/>
      <c r="BG238" s="287"/>
      <c r="BH238" s="287"/>
      <c r="BI238" s="287"/>
      <c r="BJ238" s="287"/>
      <c r="BK238" s="287"/>
      <c r="BL238" s="287"/>
      <c r="BM238" s="287"/>
      <c r="BN238" s="287"/>
      <c r="BO238" s="287"/>
      <c r="BP238" s="287"/>
      <c r="BQ238" s="287"/>
      <c r="BR238" s="287"/>
      <c r="BS238" s="287"/>
      <c r="BT238" s="287"/>
      <c r="BU238" s="287"/>
      <c r="BV238" s="287"/>
      <c r="BW238" s="287"/>
      <c r="BX238" s="286"/>
      <c r="BY238" s="289"/>
      <c r="BZ238" s="289"/>
      <c r="CA238" s="289"/>
      <c r="CB238" s="289"/>
      <c r="CC238" s="289"/>
      <c r="CD238" s="289"/>
      <c r="CE238" s="289"/>
      <c r="CF238" s="289"/>
      <c r="CG238" s="287"/>
      <c r="CH238" s="287"/>
      <c r="CI238" s="287"/>
      <c r="CJ238" s="287"/>
      <c r="CK238" s="287"/>
      <c r="CL238" s="287"/>
      <c r="CM238" s="287"/>
      <c r="CN238" s="287"/>
      <c r="CO238" s="287"/>
      <c r="CP238" s="287"/>
      <c r="CQ238" s="287"/>
      <c r="CR238" s="287"/>
      <c r="CS238" s="6"/>
      <c r="CT238" s="6"/>
      <c r="CU238" s="6"/>
      <c r="CV238" s="6"/>
      <c r="CW238" s="6"/>
      <c r="CX238" s="6"/>
      <c r="CY238" s="6"/>
      <c r="CZ238" s="6"/>
      <c r="DA238" s="343">
        <f t="shared" si="10"/>
        <v>0</v>
      </c>
    </row>
    <row r="239" spans="1:105" ht="20" customHeight="1" x14ac:dyDescent="0.35">
      <c r="A239" s="290"/>
      <c r="B239" s="270" t="s">
        <v>844</v>
      </c>
      <c r="C239" s="270" t="s">
        <v>229</v>
      </c>
      <c r="D239" s="297" t="s">
        <v>604</v>
      </c>
      <c r="E239" s="270" t="s">
        <v>34</v>
      </c>
      <c r="F239" s="270" t="s">
        <v>1818</v>
      </c>
      <c r="G239" s="270" t="s">
        <v>39</v>
      </c>
      <c r="H239" s="298">
        <v>7.8</v>
      </c>
      <c r="I239" s="292">
        <v>10.5</v>
      </c>
      <c r="J239" s="292">
        <v>9.5</v>
      </c>
      <c r="K239" s="286"/>
      <c r="L239" s="286">
        <v>10.5</v>
      </c>
      <c r="M239" s="286"/>
      <c r="N239" s="292">
        <v>10.5</v>
      </c>
      <c r="O239" s="286">
        <v>11</v>
      </c>
      <c r="P239" s="286">
        <v>10.5</v>
      </c>
      <c r="Q239" s="286">
        <v>10.5</v>
      </c>
      <c r="R239" s="286">
        <v>10.5</v>
      </c>
      <c r="S239" s="286">
        <v>11</v>
      </c>
      <c r="T239" s="286">
        <v>9.5</v>
      </c>
      <c r="U239" s="286"/>
      <c r="V239" s="294"/>
      <c r="W239" s="286"/>
      <c r="X239" s="286"/>
      <c r="Y239" s="286"/>
      <c r="Z239" s="286"/>
      <c r="AA239" s="286"/>
      <c r="AB239" s="286"/>
      <c r="AC239" s="286"/>
      <c r="AD239" s="286"/>
      <c r="AE239" s="286"/>
      <c r="AF239" s="286"/>
      <c r="AG239" s="286">
        <v>11</v>
      </c>
      <c r="AH239" s="286"/>
      <c r="AI239" s="286">
        <v>9.5</v>
      </c>
      <c r="AJ239" s="286"/>
      <c r="AK239" s="295">
        <v>10</v>
      </c>
      <c r="AL239" s="288">
        <v>9.5</v>
      </c>
      <c r="AM239" s="287"/>
      <c r="AN239" s="287"/>
      <c r="AO239" s="286">
        <v>9.5</v>
      </c>
      <c r="AP239" s="286">
        <v>9.5</v>
      </c>
      <c r="AQ239" s="296">
        <v>11</v>
      </c>
      <c r="AR239" s="286">
        <v>9.5</v>
      </c>
      <c r="AS239" s="286"/>
      <c r="AT239" s="286">
        <v>9.5</v>
      </c>
      <c r="AU239" s="286">
        <v>9.5</v>
      </c>
      <c r="AV239" s="286">
        <v>9.5</v>
      </c>
      <c r="AW239" s="286">
        <v>9.5</v>
      </c>
      <c r="AX239" s="286">
        <v>9.5</v>
      </c>
      <c r="AY239" s="286">
        <v>9.5</v>
      </c>
      <c r="AZ239" s="286">
        <v>9.5</v>
      </c>
      <c r="BA239" s="286">
        <v>9.5</v>
      </c>
      <c r="BB239" s="286">
        <f>BA239</f>
        <v>9.5</v>
      </c>
      <c r="BC239" s="286">
        <v>9.5</v>
      </c>
      <c r="BD239" s="287"/>
      <c r="BE239" s="286">
        <v>9.5</v>
      </c>
      <c r="BF239" s="287"/>
      <c r="BG239" s="288">
        <v>11</v>
      </c>
      <c r="BH239" s="287"/>
      <c r="BI239" s="287"/>
      <c r="BJ239" s="287"/>
      <c r="BK239" s="287">
        <v>11</v>
      </c>
      <c r="BL239" s="287"/>
      <c r="BM239" s="287"/>
      <c r="BN239" s="287"/>
      <c r="BO239" s="287"/>
      <c r="BP239" s="287"/>
      <c r="BQ239" s="287"/>
      <c r="BR239" s="287"/>
      <c r="BS239" s="287"/>
      <c r="BT239" s="287"/>
      <c r="BU239" s="287"/>
      <c r="BV239" s="287"/>
      <c r="BW239" s="287"/>
      <c r="BX239" s="286">
        <v>9.5</v>
      </c>
      <c r="BY239" s="289"/>
      <c r="BZ239" s="289">
        <v>10.5</v>
      </c>
      <c r="CA239" s="289"/>
      <c r="CB239" s="289"/>
      <c r="CC239" s="289"/>
      <c r="CD239" s="289"/>
      <c r="CE239" s="289"/>
      <c r="CF239" s="289"/>
      <c r="CG239" s="287"/>
      <c r="CH239" s="287"/>
      <c r="CI239" s="287"/>
      <c r="CJ239" s="287"/>
      <c r="CK239" s="287"/>
      <c r="CL239" s="287"/>
      <c r="CM239" s="292">
        <v>9.5</v>
      </c>
      <c r="CN239" s="287"/>
      <c r="CO239" s="292">
        <v>9.5</v>
      </c>
      <c r="CP239" s="287"/>
      <c r="CQ239" s="287">
        <v>10.5</v>
      </c>
      <c r="CR239" s="287"/>
      <c r="CS239" s="288">
        <f>I239</f>
        <v>10.5</v>
      </c>
      <c r="CT239" s="6"/>
      <c r="CU239" s="6"/>
      <c r="CV239" s="6"/>
      <c r="CW239" s="6"/>
      <c r="CX239" s="6"/>
      <c r="CY239" s="6"/>
      <c r="CZ239" s="6"/>
      <c r="DA239" s="343">
        <f t="shared" si="10"/>
        <v>7.8</v>
      </c>
    </row>
    <row r="240" spans="1:105" ht="20" customHeight="1" x14ac:dyDescent="0.35">
      <c r="A240" s="314"/>
      <c r="B240" s="270" t="s">
        <v>845</v>
      </c>
      <c r="C240" s="270" t="s">
        <v>230</v>
      </c>
      <c r="D240" s="297" t="s">
        <v>334</v>
      </c>
      <c r="E240" s="270" t="s">
        <v>34</v>
      </c>
      <c r="F240" s="270" t="s">
        <v>422</v>
      </c>
      <c r="G240" s="270" t="s">
        <v>39</v>
      </c>
      <c r="H240" s="298">
        <v>38</v>
      </c>
      <c r="I240" s="292"/>
      <c r="J240" s="286"/>
      <c r="K240" s="286"/>
      <c r="L240" s="286"/>
      <c r="M240" s="286"/>
      <c r="N240" s="286"/>
      <c r="O240" s="286"/>
      <c r="P240" s="286"/>
      <c r="Q240" s="286"/>
      <c r="R240" s="286"/>
      <c r="S240" s="286"/>
      <c r="T240" s="286"/>
      <c r="U240" s="286"/>
      <c r="V240" s="294"/>
      <c r="W240" s="286"/>
      <c r="X240" s="286"/>
      <c r="Y240" s="286"/>
      <c r="Z240" s="286"/>
      <c r="AA240" s="286"/>
      <c r="AB240" s="286"/>
      <c r="AC240" s="286">
        <v>43</v>
      </c>
      <c r="AD240" s="286"/>
      <c r="AE240" s="286"/>
      <c r="AF240" s="286"/>
      <c r="AG240" s="286"/>
      <c r="AH240" s="286"/>
      <c r="AI240" s="286"/>
      <c r="AJ240" s="286"/>
      <c r="AK240" s="287"/>
      <c r="AL240" s="288"/>
      <c r="AM240" s="287"/>
      <c r="AN240" s="287"/>
      <c r="AO240" s="287"/>
      <c r="AP240" s="286"/>
      <c r="AQ240" s="296"/>
      <c r="AR240" s="286"/>
      <c r="AS240" s="286"/>
      <c r="AT240" s="286"/>
      <c r="AU240" s="286"/>
      <c r="AV240" s="286"/>
      <c r="AW240" s="286"/>
      <c r="AX240" s="286"/>
      <c r="AY240" s="286"/>
      <c r="AZ240" s="286"/>
      <c r="BA240" s="286"/>
      <c r="BB240" s="286"/>
      <c r="BC240" s="286"/>
      <c r="BD240" s="287"/>
      <c r="BE240" s="287"/>
      <c r="BF240" s="287"/>
      <c r="BG240" s="287"/>
      <c r="BH240" s="287"/>
      <c r="BI240" s="287"/>
      <c r="BJ240" s="287"/>
      <c r="BK240" s="287"/>
      <c r="BL240" s="287"/>
      <c r="BM240" s="287"/>
      <c r="BN240" s="287"/>
      <c r="BO240" s="287"/>
      <c r="BP240" s="287"/>
      <c r="BQ240" s="287"/>
      <c r="BR240" s="287"/>
      <c r="BS240" s="287"/>
      <c r="BT240" s="287"/>
      <c r="BU240" s="287"/>
      <c r="BV240" s="287"/>
      <c r="BW240" s="287"/>
      <c r="BX240" s="286"/>
      <c r="BY240" s="289"/>
      <c r="BZ240" s="289"/>
      <c r="CA240" s="289"/>
      <c r="CB240" s="289"/>
      <c r="CC240" s="289"/>
      <c r="CD240" s="289"/>
      <c r="CE240" s="289"/>
      <c r="CF240" s="289"/>
      <c r="CG240" s="287"/>
      <c r="CH240" s="287"/>
      <c r="CI240" s="287"/>
      <c r="CJ240" s="287"/>
      <c r="CK240" s="287"/>
      <c r="CL240" s="287"/>
      <c r="CM240" s="287"/>
      <c r="CN240" s="287"/>
      <c r="CO240" s="287"/>
      <c r="CP240" s="287"/>
      <c r="CQ240" s="287"/>
      <c r="CR240" s="287"/>
      <c r="CS240" s="6"/>
      <c r="CT240" s="6"/>
      <c r="CU240" s="6"/>
      <c r="CV240" s="6"/>
      <c r="CW240" s="6"/>
      <c r="CX240" s="6"/>
      <c r="CY240" s="6"/>
      <c r="CZ240" s="6"/>
      <c r="DA240" s="343">
        <f t="shared" si="10"/>
        <v>38</v>
      </c>
    </row>
    <row r="241" spans="1:105" ht="20" customHeight="1" x14ac:dyDescent="0.35">
      <c r="A241" s="290">
        <v>520696</v>
      </c>
      <c r="B241" s="270" t="s">
        <v>846</v>
      </c>
      <c r="C241" s="270" t="s">
        <v>230</v>
      </c>
      <c r="D241" s="297" t="s">
        <v>334</v>
      </c>
      <c r="E241" s="270" t="s">
        <v>34</v>
      </c>
      <c r="F241" s="270" t="s">
        <v>613</v>
      </c>
      <c r="G241" s="270" t="s">
        <v>39</v>
      </c>
      <c r="H241" s="298">
        <f>H240/25*5</f>
        <v>7.6</v>
      </c>
      <c r="I241" s="300">
        <v>10</v>
      </c>
      <c r="J241" s="292">
        <v>10</v>
      </c>
      <c r="K241" s="286"/>
      <c r="L241" s="286">
        <v>10</v>
      </c>
      <c r="M241" s="286"/>
      <c r="N241" s="292">
        <v>10</v>
      </c>
      <c r="O241" s="286">
        <v>10</v>
      </c>
      <c r="P241" s="292">
        <v>10</v>
      </c>
      <c r="Q241" s="286">
        <v>10</v>
      </c>
      <c r="R241" s="286">
        <v>11</v>
      </c>
      <c r="S241" s="286">
        <v>10.5</v>
      </c>
      <c r="T241" s="286">
        <v>10</v>
      </c>
      <c r="U241" s="286"/>
      <c r="V241" s="294"/>
      <c r="W241" s="286"/>
      <c r="X241" s="286"/>
      <c r="Y241" s="286"/>
      <c r="Z241" s="286"/>
      <c r="AA241" s="286"/>
      <c r="AB241" s="286"/>
      <c r="AC241" s="286">
        <v>10</v>
      </c>
      <c r="AD241" s="286"/>
      <c r="AE241" s="286"/>
      <c r="AF241" s="286"/>
      <c r="AG241" s="286"/>
      <c r="AH241" s="286"/>
      <c r="AI241" s="286">
        <v>10</v>
      </c>
      <c r="AJ241" s="286"/>
      <c r="AK241" s="295">
        <v>10.5</v>
      </c>
      <c r="AL241" s="288"/>
      <c r="AM241" s="287">
        <v>9.5</v>
      </c>
      <c r="AN241" s="287"/>
      <c r="AO241" s="286">
        <v>10</v>
      </c>
      <c r="AP241" s="286">
        <v>10</v>
      </c>
      <c r="AQ241" s="296">
        <v>11</v>
      </c>
      <c r="AR241" s="286">
        <v>10</v>
      </c>
      <c r="AS241" s="286"/>
      <c r="AT241" s="286">
        <v>10</v>
      </c>
      <c r="AU241" s="286">
        <v>10</v>
      </c>
      <c r="AV241" s="286">
        <v>10</v>
      </c>
      <c r="AW241" s="286">
        <v>10</v>
      </c>
      <c r="AX241" s="286">
        <v>10</v>
      </c>
      <c r="AY241" s="286">
        <v>10</v>
      </c>
      <c r="AZ241" s="286">
        <v>10</v>
      </c>
      <c r="BA241" s="286">
        <v>10</v>
      </c>
      <c r="BB241" s="286">
        <f>BA241</f>
        <v>10</v>
      </c>
      <c r="BC241" s="286">
        <v>10</v>
      </c>
      <c r="BD241" s="287"/>
      <c r="BE241" s="286">
        <v>10</v>
      </c>
      <c r="BF241" s="287"/>
      <c r="BG241" s="288">
        <v>10.5</v>
      </c>
      <c r="BH241" s="292">
        <v>10</v>
      </c>
      <c r="BI241" s="287">
        <v>12</v>
      </c>
      <c r="BJ241" s="287"/>
      <c r="BK241" s="287"/>
      <c r="BL241" s="287"/>
      <c r="BM241" s="287"/>
      <c r="BN241" s="287"/>
      <c r="BO241" s="287"/>
      <c r="BP241" s="287"/>
      <c r="BQ241" s="287"/>
      <c r="BR241" s="287"/>
      <c r="BS241" s="287"/>
      <c r="BT241" s="287"/>
      <c r="BU241" s="287">
        <v>10</v>
      </c>
      <c r="BV241" s="287"/>
      <c r="BW241" s="287"/>
      <c r="BX241" s="286">
        <v>10</v>
      </c>
      <c r="BY241" s="289"/>
      <c r="BZ241" s="289">
        <v>10</v>
      </c>
      <c r="CA241" s="289"/>
      <c r="CB241" s="289"/>
      <c r="CC241" s="289"/>
      <c r="CD241" s="289"/>
      <c r="CE241" s="289"/>
      <c r="CF241" s="289"/>
      <c r="CG241" s="287"/>
      <c r="CH241" s="287"/>
      <c r="CI241" s="287"/>
      <c r="CJ241" s="287"/>
      <c r="CK241" s="287"/>
      <c r="CL241" s="287"/>
      <c r="CM241" s="292">
        <v>10</v>
      </c>
      <c r="CN241" s="292">
        <v>10</v>
      </c>
      <c r="CO241" s="292">
        <v>10</v>
      </c>
      <c r="CP241" s="287"/>
      <c r="CQ241" s="287">
        <v>10</v>
      </c>
      <c r="CR241" s="292">
        <v>11</v>
      </c>
      <c r="CS241" s="308">
        <v>10</v>
      </c>
      <c r="CT241" s="6"/>
      <c r="CU241" s="6"/>
      <c r="CV241" s="6"/>
      <c r="CW241" s="6"/>
      <c r="CX241" s="6"/>
      <c r="CY241" s="6"/>
      <c r="CZ241" s="6"/>
      <c r="DA241" s="343">
        <f t="shared" si="10"/>
        <v>7.6</v>
      </c>
    </row>
    <row r="242" spans="1:105" ht="20" customHeight="1" x14ac:dyDescent="0.35">
      <c r="A242" s="290">
        <v>520732</v>
      </c>
      <c r="B242" s="270" t="s">
        <v>846</v>
      </c>
      <c r="C242" s="270" t="s">
        <v>230</v>
      </c>
      <c r="D242" s="297" t="s">
        <v>334</v>
      </c>
      <c r="E242" s="270" t="s">
        <v>34</v>
      </c>
      <c r="F242" s="270" t="s">
        <v>613</v>
      </c>
      <c r="G242" s="270" t="s">
        <v>39</v>
      </c>
      <c r="H242" s="298">
        <f>H241/25*5</f>
        <v>1.52</v>
      </c>
      <c r="I242" s="300">
        <v>10</v>
      </c>
      <c r="J242" s="292">
        <v>10</v>
      </c>
      <c r="K242" s="286"/>
      <c r="L242" s="286">
        <v>10</v>
      </c>
      <c r="M242" s="286"/>
      <c r="N242" s="292">
        <v>10</v>
      </c>
      <c r="O242" s="286">
        <v>10</v>
      </c>
      <c r="P242" s="292">
        <v>10</v>
      </c>
      <c r="Q242" s="286">
        <v>10</v>
      </c>
      <c r="R242" s="286">
        <v>11</v>
      </c>
      <c r="S242" s="286">
        <v>10.5</v>
      </c>
      <c r="T242" s="286">
        <v>10</v>
      </c>
      <c r="U242" s="286"/>
      <c r="V242" s="294"/>
      <c r="W242" s="286"/>
      <c r="X242" s="286"/>
      <c r="Y242" s="286"/>
      <c r="Z242" s="286"/>
      <c r="AA242" s="286"/>
      <c r="AB242" s="286"/>
      <c r="AC242" s="286">
        <v>10</v>
      </c>
      <c r="AD242" s="286"/>
      <c r="AE242" s="286"/>
      <c r="AF242" s="286"/>
      <c r="AG242" s="286"/>
      <c r="AH242" s="286"/>
      <c r="AI242" s="286">
        <v>10</v>
      </c>
      <c r="AJ242" s="286"/>
      <c r="AK242" s="295">
        <v>10.5</v>
      </c>
      <c r="AL242" s="288"/>
      <c r="AM242" s="287">
        <v>9.5</v>
      </c>
      <c r="AN242" s="287"/>
      <c r="AO242" s="286">
        <v>10</v>
      </c>
      <c r="AP242" s="286">
        <v>10</v>
      </c>
      <c r="AQ242" s="296">
        <v>11</v>
      </c>
      <c r="AR242" s="286">
        <v>10</v>
      </c>
      <c r="AS242" s="286"/>
      <c r="AT242" s="286">
        <v>10</v>
      </c>
      <c r="AU242" s="286">
        <v>10</v>
      </c>
      <c r="AV242" s="286">
        <v>10</v>
      </c>
      <c r="AW242" s="286">
        <v>10</v>
      </c>
      <c r="AX242" s="286">
        <v>10</v>
      </c>
      <c r="AY242" s="286">
        <v>10</v>
      </c>
      <c r="AZ242" s="286">
        <v>10</v>
      </c>
      <c r="BA242" s="286">
        <v>10</v>
      </c>
      <c r="BB242" s="286">
        <f>BA242</f>
        <v>10</v>
      </c>
      <c r="BC242" s="286">
        <v>10</v>
      </c>
      <c r="BD242" s="287"/>
      <c r="BE242" s="286">
        <v>10</v>
      </c>
      <c r="BF242" s="287"/>
      <c r="BG242" s="288">
        <v>10.5</v>
      </c>
      <c r="BH242" s="292">
        <v>10</v>
      </c>
      <c r="BI242" s="287">
        <v>12</v>
      </c>
      <c r="BJ242" s="287"/>
      <c r="BK242" s="287"/>
      <c r="BL242" s="287"/>
      <c r="BM242" s="287"/>
      <c r="BN242" s="287"/>
      <c r="BO242" s="287"/>
      <c r="BP242" s="287"/>
      <c r="BQ242" s="287"/>
      <c r="BR242" s="287"/>
      <c r="BS242" s="287"/>
      <c r="BT242" s="287"/>
      <c r="BU242" s="287">
        <v>10</v>
      </c>
      <c r="BV242" s="287"/>
      <c r="BW242" s="287"/>
      <c r="BX242" s="286">
        <v>10</v>
      </c>
      <c r="BY242" s="289"/>
      <c r="BZ242" s="289">
        <v>10</v>
      </c>
      <c r="CA242" s="289"/>
      <c r="CB242" s="289"/>
      <c r="CC242" s="289"/>
      <c r="CD242" s="289"/>
      <c r="CE242" s="289"/>
      <c r="CF242" s="289"/>
      <c r="CG242" s="287"/>
      <c r="CH242" s="287"/>
      <c r="CI242" s="287"/>
      <c r="CJ242" s="287"/>
      <c r="CK242" s="287"/>
      <c r="CL242" s="287"/>
      <c r="CM242" s="292">
        <v>10</v>
      </c>
      <c r="CN242" s="292">
        <v>10</v>
      </c>
      <c r="CO242" s="292">
        <v>10</v>
      </c>
      <c r="CP242" s="287"/>
      <c r="CQ242" s="287">
        <v>10</v>
      </c>
      <c r="CR242" s="292">
        <v>11</v>
      </c>
      <c r="CS242" s="308">
        <v>10</v>
      </c>
      <c r="CT242" s="6"/>
      <c r="CU242" s="6"/>
      <c r="CV242" s="6"/>
      <c r="CW242" s="6"/>
      <c r="CX242" s="6"/>
      <c r="CY242" s="6"/>
      <c r="CZ242" s="6"/>
      <c r="DA242" s="343">
        <f t="shared" ref="DA242" si="11">H242</f>
        <v>1.52</v>
      </c>
    </row>
    <row r="243" spans="1:105" ht="20" customHeight="1" x14ac:dyDescent="0.35">
      <c r="A243" s="290" t="s">
        <v>2065</v>
      </c>
      <c r="B243" s="270" t="s">
        <v>846</v>
      </c>
      <c r="C243" s="270" t="s">
        <v>230</v>
      </c>
      <c r="D243" s="297" t="s">
        <v>334</v>
      </c>
      <c r="E243" s="270" t="s">
        <v>34</v>
      </c>
      <c r="F243" s="270" t="s">
        <v>613</v>
      </c>
      <c r="G243" s="270" t="s">
        <v>39</v>
      </c>
      <c r="H243" s="298">
        <f>H241/25*5</f>
        <v>1.52</v>
      </c>
      <c r="I243" s="300"/>
      <c r="J243" s="292"/>
      <c r="K243" s="286"/>
      <c r="L243" s="286"/>
      <c r="M243" s="286"/>
      <c r="N243" s="292"/>
      <c r="O243" s="286"/>
      <c r="P243" s="292"/>
      <c r="Q243" s="286"/>
      <c r="R243" s="286"/>
      <c r="S243" s="286"/>
      <c r="T243" s="286"/>
      <c r="U243" s="286"/>
      <c r="V243" s="294"/>
      <c r="W243" s="286"/>
      <c r="X243" s="286"/>
      <c r="Y243" s="286"/>
      <c r="Z243" s="286"/>
      <c r="AA243" s="286"/>
      <c r="AB243" s="286"/>
      <c r="AC243" s="286"/>
      <c r="AD243" s="286"/>
      <c r="AE243" s="286"/>
      <c r="AF243" s="286"/>
      <c r="AG243" s="286"/>
      <c r="AH243" s="286"/>
      <c r="AI243" s="286"/>
      <c r="AJ243" s="286"/>
      <c r="AK243" s="295"/>
      <c r="AL243" s="288"/>
      <c r="AM243" s="287"/>
      <c r="AN243" s="287"/>
      <c r="AO243" s="286"/>
      <c r="AP243" s="286"/>
      <c r="AQ243" s="296"/>
      <c r="AR243" s="286"/>
      <c r="AS243" s="286"/>
      <c r="AT243" s="286"/>
      <c r="AU243" s="286"/>
      <c r="AV243" s="286"/>
      <c r="AW243" s="286"/>
      <c r="AX243" s="286"/>
      <c r="AY243" s="286"/>
      <c r="AZ243" s="286"/>
      <c r="BA243" s="286"/>
      <c r="BB243" s="286"/>
      <c r="BC243" s="286"/>
      <c r="BD243" s="287"/>
      <c r="BE243" s="286"/>
      <c r="BF243" s="287"/>
      <c r="BG243" s="288"/>
      <c r="BH243" s="287"/>
      <c r="BI243" s="287"/>
      <c r="BJ243" s="287"/>
      <c r="BK243" s="287"/>
      <c r="BL243" s="287"/>
      <c r="BM243" s="287"/>
      <c r="BN243" s="287"/>
      <c r="BO243" s="287"/>
      <c r="BP243" s="287"/>
      <c r="BQ243" s="287"/>
      <c r="BR243" s="287"/>
      <c r="BS243" s="287"/>
      <c r="BT243" s="287"/>
      <c r="BU243" s="287"/>
      <c r="BV243" s="287"/>
      <c r="BW243" s="287"/>
      <c r="BX243" s="286"/>
      <c r="BY243" s="289"/>
      <c r="BZ243" s="289"/>
      <c r="CA243" s="289"/>
      <c r="CB243" s="289"/>
      <c r="CC243" s="289"/>
      <c r="CD243" s="289"/>
      <c r="CE243" s="289"/>
      <c r="CF243" s="289"/>
      <c r="CG243" s="287"/>
      <c r="CH243" s="287"/>
      <c r="CI243" s="287"/>
      <c r="CJ243" s="287"/>
      <c r="CK243" s="287"/>
      <c r="CL243" s="287"/>
      <c r="CM243" s="292"/>
      <c r="CN243" s="287"/>
      <c r="CO243" s="292"/>
      <c r="CP243" s="287"/>
      <c r="CQ243" s="287">
        <v>10</v>
      </c>
      <c r="CR243" s="292">
        <v>10</v>
      </c>
      <c r="CS243" s="308">
        <v>10</v>
      </c>
      <c r="CT243" s="6"/>
      <c r="CU243" s="6"/>
      <c r="CV243" s="6"/>
      <c r="CW243" s="6"/>
      <c r="CX243" s="6"/>
      <c r="CY243" s="6"/>
      <c r="CZ243" s="6"/>
      <c r="DA243" s="343">
        <f>H243</f>
        <v>1.52</v>
      </c>
    </row>
    <row r="244" spans="1:105" ht="20" customHeight="1" x14ac:dyDescent="0.35">
      <c r="A244" s="278"/>
      <c r="B244" s="270" t="s">
        <v>847</v>
      </c>
      <c r="C244" s="270" t="s">
        <v>230</v>
      </c>
      <c r="D244" s="270"/>
      <c r="E244" s="270" t="s">
        <v>334</v>
      </c>
      <c r="F244" s="270" t="s">
        <v>62</v>
      </c>
      <c r="G244" s="270" t="s">
        <v>39</v>
      </c>
      <c r="H244" s="298">
        <f>H241/5</f>
        <v>1.52</v>
      </c>
      <c r="I244" s="286"/>
      <c r="J244" s="286">
        <v>2.1</v>
      </c>
      <c r="K244" s="286"/>
      <c r="L244" s="286"/>
      <c r="M244" s="286"/>
      <c r="N244" s="286"/>
      <c r="O244" s="286"/>
      <c r="P244" s="286"/>
      <c r="Q244" s="286"/>
      <c r="R244" s="286"/>
      <c r="S244" s="286"/>
      <c r="T244" s="286"/>
      <c r="U244" s="286"/>
      <c r="V244" s="294"/>
      <c r="W244" s="286"/>
      <c r="X244" s="286"/>
      <c r="Y244" s="286"/>
      <c r="Z244" s="286"/>
      <c r="AA244" s="286"/>
      <c r="AB244" s="286"/>
      <c r="AC244" s="286"/>
      <c r="AD244" s="286"/>
      <c r="AE244" s="286"/>
      <c r="AF244" s="286"/>
      <c r="AG244" s="286"/>
      <c r="AH244" s="286"/>
      <c r="AI244" s="286"/>
      <c r="AJ244" s="289">
        <v>2.1</v>
      </c>
      <c r="AK244" s="287"/>
      <c r="AL244" s="288"/>
      <c r="AM244" s="287">
        <f>AM241/5+0.5</f>
        <v>2.4</v>
      </c>
      <c r="AN244" s="287"/>
      <c r="AO244" s="287"/>
      <c r="AP244" s="286"/>
      <c r="AQ244" s="296"/>
      <c r="AR244" s="286"/>
      <c r="AS244" s="286"/>
      <c r="AT244" s="286"/>
      <c r="AU244" s="286"/>
      <c r="AV244" s="286"/>
      <c r="AW244" s="286"/>
      <c r="AX244" s="286"/>
      <c r="AY244" s="286"/>
      <c r="AZ244" s="286"/>
      <c r="BA244" s="286"/>
      <c r="BB244" s="286"/>
      <c r="BC244" s="286"/>
      <c r="BD244" s="287"/>
      <c r="BE244" s="287"/>
      <c r="BF244" s="287"/>
      <c r="BG244" s="287"/>
      <c r="BH244" s="287"/>
      <c r="BI244" s="287"/>
      <c r="BJ244" s="287"/>
      <c r="BK244" s="287"/>
      <c r="BL244" s="287"/>
      <c r="BM244" s="287"/>
      <c r="BN244" s="287"/>
      <c r="BO244" s="287"/>
      <c r="BP244" s="287"/>
      <c r="BQ244" s="287"/>
      <c r="BR244" s="287"/>
      <c r="BS244" s="287"/>
      <c r="BT244" s="287"/>
      <c r="BU244" s="287"/>
      <c r="BV244" s="287"/>
      <c r="BW244" s="287"/>
      <c r="BX244" s="286"/>
      <c r="BY244" s="289"/>
      <c r="BZ244" s="289"/>
      <c r="CA244" s="289"/>
      <c r="CB244" s="289"/>
      <c r="CC244" s="289"/>
      <c r="CD244" s="289"/>
      <c r="CE244" s="289"/>
      <c r="CF244" s="289"/>
      <c r="CG244" s="287"/>
      <c r="CH244" s="287"/>
      <c r="CI244" s="287"/>
      <c r="CJ244" s="287"/>
      <c r="CK244" s="287"/>
      <c r="CL244" s="287"/>
      <c r="CM244" s="287"/>
      <c r="CN244" s="287"/>
      <c r="CO244" s="287"/>
      <c r="CP244" s="287"/>
      <c r="CQ244" s="287"/>
      <c r="CR244" s="287"/>
      <c r="CS244" s="6"/>
      <c r="CT244" s="6"/>
      <c r="CU244" s="6"/>
      <c r="CV244" s="6"/>
      <c r="CW244" s="6"/>
      <c r="CX244" s="6"/>
      <c r="CY244" s="6"/>
      <c r="CZ244" s="6"/>
      <c r="DA244" s="343">
        <f t="shared" si="10"/>
        <v>1.52</v>
      </c>
    </row>
    <row r="245" spans="1:105" ht="20" customHeight="1" x14ac:dyDescent="0.35">
      <c r="A245" s="290"/>
      <c r="B245" s="270" t="s">
        <v>848</v>
      </c>
      <c r="C245" s="270" t="s">
        <v>231</v>
      </c>
      <c r="D245" s="297" t="s">
        <v>632</v>
      </c>
      <c r="E245" s="270" t="s">
        <v>34</v>
      </c>
      <c r="F245" s="270" t="s">
        <v>1817</v>
      </c>
      <c r="G245" s="270" t="s">
        <v>39</v>
      </c>
      <c r="H245" s="298">
        <v>51</v>
      </c>
      <c r="I245" s="286"/>
      <c r="J245" s="286"/>
      <c r="K245" s="286"/>
      <c r="L245" s="286"/>
      <c r="M245" s="286"/>
      <c r="N245" s="286"/>
      <c r="O245" s="286"/>
      <c r="P245" s="286"/>
      <c r="Q245" s="286"/>
      <c r="R245" s="286"/>
      <c r="S245" s="286"/>
      <c r="T245" s="286"/>
      <c r="U245" s="286"/>
      <c r="V245" s="294"/>
      <c r="W245" s="286"/>
      <c r="X245" s="286"/>
      <c r="Y245" s="286"/>
      <c r="Z245" s="286"/>
      <c r="AA245" s="286"/>
      <c r="AB245" s="286"/>
      <c r="AC245" s="286"/>
      <c r="AD245" s="286"/>
      <c r="AE245" s="286"/>
      <c r="AF245" s="286"/>
      <c r="AG245" s="286"/>
      <c r="AH245" s="286"/>
      <c r="AI245" s="286"/>
      <c r="AJ245" s="286"/>
      <c r="AK245" s="287"/>
      <c r="AL245" s="288"/>
      <c r="AM245" s="287"/>
      <c r="AN245" s="287"/>
      <c r="AO245" s="287"/>
      <c r="AP245" s="286"/>
      <c r="AQ245" s="296"/>
      <c r="AR245" s="286"/>
      <c r="AS245" s="286"/>
      <c r="AT245" s="286"/>
      <c r="AU245" s="286"/>
      <c r="AV245" s="286"/>
      <c r="AW245" s="286"/>
      <c r="AX245" s="286"/>
      <c r="AY245" s="286"/>
      <c r="AZ245" s="286"/>
      <c r="BA245" s="286"/>
      <c r="BB245" s="286"/>
      <c r="BC245" s="286"/>
      <c r="BD245" s="287"/>
      <c r="BE245" s="287"/>
      <c r="BF245" s="287"/>
      <c r="BG245" s="287"/>
      <c r="BH245" s="287"/>
      <c r="BI245" s="287"/>
      <c r="BJ245" s="287"/>
      <c r="BK245" s="287"/>
      <c r="BL245" s="287"/>
      <c r="BM245" s="287"/>
      <c r="BN245" s="287"/>
      <c r="BO245" s="287"/>
      <c r="BP245" s="287"/>
      <c r="BQ245" s="287"/>
      <c r="BR245" s="287"/>
      <c r="BS245" s="287"/>
      <c r="BT245" s="287"/>
      <c r="BU245" s="287"/>
      <c r="BV245" s="287"/>
      <c r="BW245" s="287"/>
      <c r="BX245" s="286"/>
      <c r="BY245" s="289"/>
      <c r="BZ245" s="289"/>
      <c r="CA245" s="289"/>
      <c r="CB245" s="289"/>
      <c r="CC245" s="289"/>
      <c r="CD245" s="289"/>
      <c r="CE245" s="289"/>
      <c r="CF245" s="289"/>
      <c r="CG245" s="287"/>
      <c r="CH245" s="287"/>
      <c r="CI245" s="287"/>
      <c r="CJ245" s="287"/>
      <c r="CK245" s="287"/>
      <c r="CL245" s="287"/>
      <c r="CM245" s="287"/>
      <c r="CN245" s="287"/>
      <c r="CO245" s="287"/>
      <c r="CP245" s="287"/>
      <c r="CQ245" s="287"/>
      <c r="CR245" s="287"/>
      <c r="CS245" s="6"/>
      <c r="CT245" s="6"/>
      <c r="CU245" s="6"/>
      <c r="CV245" s="6"/>
      <c r="CW245" s="6"/>
      <c r="CX245" s="6"/>
      <c r="CY245" s="6"/>
      <c r="CZ245" s="6"/>
      <c r="DA245" s="343">
        <f t="shared" si="10"/>
        <v>51</v>
      </c>
    </row>
    <row r="246" spans="1:105" ht="20" customHeight="1" x14ac:dyDescent="0.35">
      <c r="A246" s="290" t="s">
        <v>85</v>
      </c>
      <c r="B246" s="270" t="s">
        <v>849</v>
      </c>
      <c r="C246" s="270" t="s">
        <v>231</v>
      </c>
      <c r="D246" s="297" t="s">
        <v>632</v>
      </c>
      <c r="E246" s="270" t="s">
        <v>34</v>
      </c>
      <c r="F246" s="270" t="s">
        <v>613</v>
      </c>
      <c r="G246" s="270" t="s">
        <v>39</v>
      </c>
      <c r="H246" s="298">
        <f>H245/30*5</f>
        <v>8.5</v>
      </c>
      <c r="I246" s="292">
        <v>11</v>
      </c>
      <c r="J246" s="292">
        <v>11</v>
      </c>
      <c r="K246" s="286"/>
      <c r="L246" s="286">
        <v>12</v>
      </c>
      <c r="M246" s="286"/>
      <c r="N246" s="292">
        <v>11</v>
      </c>
      <c r="O246" s="286">
        <v>10</v>
      </c>
      <c r="P246" s="292">
        <v>11</v>
      </c>
      <c r="Q246" s="286">
        <v>11</v>
      </c>
      <c r="R246" s="286">
        <v>11</v>
      </c>
      <c r="S246" s="286">
        <v>11</v>
      </c>
      <c r="T246" s="286">
        <v>11</v>
      </c>
      <c r="U246" s="286"/>
      <c r="V246" s="294"/>
      <c r="W246" s="286"/>
      <c r="X246" s="286"/>
      <c r="Y246" s="286"/>
      <c r="Z246" s="286"/>
      <c r="AA246" s="286"/>
      <c r="AB246" s="286">
        <v>11</v>
      </c>
      <c r="AC246" s="292">
        <v>11</v>
      </c>
      <c r="AD246" s="286"/>
      <c r="AE246" s="286"/>
      <c r="AF246" s="286"/>
      <c r="AG246" s="286">
        <v>11</v>
      </c>
      <c r="AH246" s="286"/>
      <c r="AI246" s="286"/>
      <c r="AJ246" s="286"/>
      <c r="AK246" s="295">
        <v>11</v>
      </c>
      <c r="AL246" s="288">
        <v>11</v>
      </c>
      <c r="AM246" s="287">
        <v>11</v>
      </c>
      <c r="AN246" s="287"/>
      <c r="AO246" s="287"/>
      <c r="AP246" s="286">
        <v>11</v>
      </c>
      <c r="AQ246" s="296">
        <v>12.5</v>
      </c>
      <c r="AR246" s="286">
        <v>11</v>
      </c>
      <c r="AS246" s="286"/>
      <c r="AT246" s="286">
        <v>11</v>
      </c>
      <c r="AU246" s="286">
        <v>11</v>
      </c>
      <c r="AV246" s="286">
        <v>11</v>
      </c>
      <c r="AW246" s="286">
        <v>11</v>
      </c>
      <c r="AX246" s="286">
        <v>11</v>
      </c>
      <c r="AY246" s="286">
        <v>11</v>
      </c>
      <c r="AZ246" s="286">
        <v>11</v>
      </c>
      <c r="BA246" s="286">
        <v>11</v>
      </c>
      <c r="BB246" s="286">
        <f>BA246</f>
        <v>11</v>
      </c>
      <c r="BC246" s="286">
        <v>11</v>
      </c>
      <c r="BD246" s="287"/>
      <c r="BE246" s="287"/>
      <c r="BF246" s="287"/>
      <c r="BG246" s="288">
        <v>11.5</v>
      </c>
      <c r="BH246" s="287"/>
      <c r="BI246" s="287"/>
      <c r="BJ246" s="287"/>
      <c r="BK246" s="287"/>
      <c r="BL246" s="287"/>
      <c r="BM246" s="287"/>
      <c r="BN246" s="287"/>
      <c r="BO246" s="287"/>
      <c r="BP246" s="287"/>
      <c r="BQ246" s="287"/>
      <c r="BR246" s="287"/>
      <c r="BS246" s="287"/>
      <c r="BT246" s="287"/>
      <c r="BU246" s="287">
        <v>11</v>
      </c>
      <c r="BV246" s="287"/>
      <c r="BW246" s="287"/>
      <c r="BX246" s="286"/>
      <c r="BY246" s="289"/>
      <c r="BZ246" s="289">
        <v>11</v>
      </c>
      <c r="CA246" s="289"/>
      <c r="CB246" s="289"/>
      <c r="CC246" s="289"/>
      <c r="CD246" s="289"/>
      <c r="CE246" s="289"/>
      <c r="CF246" s="289"/>
      <c r="CG246" s="287"/>
      <c r="CH246" s="287"/>
      <c r="CI246" s="287"/>
      <c r="CJ246" s="287"/>
      <c r="CK246" s="287"/>
      <c r="CL246" s="287"/>
      <c r="CM246" s="287"/>
      <c r="CN246" s="292">
        <v>11</v>
      </c>
      <c r="CO246" s="292">
        <v>11</v>
      </c>
      <c r="CP246" s="287"/>
      <c r="CQ246" s="287">
        <v>11</v>
      </c>
      <c r="CR246" s="287">
        <v>12</v>
      </c>
      <c r="CS246" s="288">
        <f>I246</f>
        <v>11</v>
      </c>
      <c r="CT246" s="6"/>
      <c r="CU246" s="6"/>
      <c r="CV246" s="6"/>
      <c r="CW246" s="6"/>
      <c r="CX246" s="6"/>
      <c r="CY246" s="6"/>
      <c r="CZ246" s="6"/>
      <c r="DA246" s="343">
        <f t="shared" si="10"/>
        <v>8.5</v>
      </c>
    </row>
    <row r="247" spans="1:105" ht="20" customHeight="1" x14ac:dyDescent="0.35">
      <c r="A247" s="290"/>
      <c r="B247" s="270" t="s">
        <v>850</v>
      </c>
      <c r="C247" s="270" t="s">
        <v>231</v>
      </c>
      <c r="D247" s="270"/>
      <c r="E247" s="270" t="s">
        <v>34</v>
      </c>
      <c r="F247" s="270" t="s">
        <v>62</v>
      </c>
      <c r="G247" s="270" t="s">
        <v>39</v>
      </c>
      <c r="H247" s="298">
        <f>H245/30</f>
        <v>1.7</v>
      </c>
      <c r="I247" s="286"/>
      <c r="J247" s="286"/>
      <c r="K247" s="286"/>
      <c r="L247" s="286"/>
      <c r="M247" s="286"/>
      <c r="N247" s="286"/>
      <c r="O247" s="286"/>
      <c r="P247" s="286"/>
      <c r="Q247" s="286"/>
      <c r="R247" s="286"/>
      <c r="S247" s="286"/>
      <c r="T247" s="286"/>
      <c r="U247" s="286"/>
      <c r="V247" s="294"/>
      <c r="W247" s="286"/>
      <c r="X247" s="286"/>
      <c r="Y247" s="286"/>
      <c r="Z247" s="286"/>
      <c r="AA247" s="286"/>
      <c r="AB247" s="286"/>
      <c r="AC247" s="286"/>
      <c r="AD247" s="286"/>
      <c r="AE247" s="286"/>
      <c r="AF247" s="286"/>
      <c r="AG247" s="286"/>
      <c r="AH247" s="286"/>
      <c r="AI247" s="286"/>
      <c r="AJ247" s="286"/>
      <c r="AK247" s="287"/>
      <c r="AL247" s="288"/>
      <c r="AM247" s="287">
        <v>2.2999999999999998</v>
      </c>
      <c r="AN247" s="287"/>
      <c r="AO247" s="287"/>
      <c r="AP247" s="286"/>
      <c r="AQ247" s="296"/>
      <c r="AR247" s="286"/>
      <c r="AS247" s="286"/>
      <c r="AT247" s="286"/>
      <c r="AU247" s="286"/>
      <c r="AV247" s="286"/>
      <c r="AW247" s="286"/>
      <c r="AX247" s="286"/>
      <c r="AY247" s="286"/>
      <c r="AZ247" s="286"/>
      <c r="BA247" s="286"/>
      <c r="BB247" s="286"/>
      <c r="BC247" s="286"/>
      <c r="BD247" s="287"/>
      <c r="BE247" s="287"/>
      <c r="BF247" s="287"/>
      <c r="BG247" s="287"/>
      <c r="BH247" s="287"/>
      <c r="BI247" s="287"/>
      <c r="BJ247" s="287"/>
      <c r="BK247" s="287"/>
      <c r="BL247" s="287"/>
      <c r="BM247" s="287"/>
      <c r="BN247" s="287"/>
      <c r="BO247" s="287"/>
      <c r="BP247" s="287"/>
      <c r="BQ247" s="287"/>
      <c r="BR247" s="287"/>
      <c r="BS247" s="287"/>
      <c r="BT247" s="287"/>
      <c r="BU247" s="287"/>
      <c r="BV247" s="287"/>
      <c r="BW247" s="287"/>
      <c r="BX247" s="286"/>
      <c r="BY247" s="289"/>
      <c r="BZ247" s="289"/>
      <c r="CA247" s="289"/>
      <c r="CB247" s="289"/>
      <c r="CC247" s="289"/>
      <c r="CD247" s="289"/>
      <c r="CE247" s="289"/>
      <c r="CF247" s="289"/>
      <c r="CG247" s="287"/>
      <c r="CH247" s="287"/>
      <c r="CI247" s="287"/>
      <c r="CJ247" s="287"/>
      <c r="CK247" s="287"/>
      <c r="CL247" s="287"/>
      <c r="CM247" s="287"/>
      <c r="CN247" s="287"/>
      <c r="CO247" s="287"/>
      <c r="CP247" s="287"/>
      <c r="CQ247" s="287"/>
      <c r="CR247" s="287"/>
      <c r="CS247" s="6"/>
      <c r="CT247" s="6"/>
      <c r="CU247" s="6"/>
      <c r="CV247" s="6"/>
      <c r="CW247" s="6"/>
      <c r="CX247" s="6"/>
      <c r="CY247" s="6"/>
      <c r="CZ247" s="6"/>
      <c r="DA247" s="343">
        <f t="shared" si="10"/>
        <v>1.7</v>
      </c>
    </row>
    <row r="248" spans="1:105" ht="20" customHeight="1" x14ac:dyDescent="0.35">
      <c r="A248" s="290"/>
      <c r="B248" s="270" t="s">
        <v>851</v>
      </c>
      <c r="C248" s="270" t="s">
        <v>231</v>
      </c>
      <c r="D248" s="270"/>
      <c r="E248" s="270" t="s">
        <v>34</v>
      </c>
      <c r="F248" s="270" t="s">
        <v>1812</v>
      </c>
      <c r="G248" s="270" t="s">
        <v>39</v>
      </c>
      <c r="H248" s="298">
        <f>H247*2.5</f>
        <v>4.25</v>
      </c>
      <c r="I248" s="286"/>
      <c r="J248" s="286"/>
      <c r="K248" s="286"/>
      <c r="L248" s="286"/>
      <c r="M248" s="286"/>
      <c r="N248" s="286"/>
      <c r="O248" s="286"/>
      <c r="P248" s="286"/>
      <c r="Q248" s="286"/>
      <c r="R248" s="286"/>
      <c r="S248" s="286"/>
      <c r="T248" s="286"/>
      <c r="U248" s="286"/>
      <c r="V248" s="294"/>
      <c r="W248" s="286"/>
      <c r="X248" s="286"/>
      <c r="Y248" s="286"/>
      <c r="Z248" s="286"/>
      <c r="AA248" s="286"/>
      <c r="AB248" s="286"/>
      <c r="AC248" s="286"/>
      <c r="AD248" s="286"/>
      <c r="AE248" s="286"/>
      <c r="AF248" s="286"/>
      <c r="AG248" s="286"/>
      <c r="AH248" s="286"/>
      <c r="AI248" s="286"/>
      <c r="AJ248" s="286"/>
      <c r="AK248" s="287"/>
      <c r="AL248" s="288"/>
      <c r="AM248" s="287"/>
      <c r="AN248" s="287"/>
      <c r="AO248" s="287"/>
      <c r="AP248" s="286"/>
      <c r="AQ248" s="296"/>
      <c r="AR248" s="286"/>
      <c r="AS248" s="286"/>
      <c r="AT248" s="286"/>
      <c r="AU248" s="286"/>
      <c r="AV248" s="286"/>
      <c r="AW248" s="286"/>
      <c r="AX248" s="286"/>
      <c r="AY248" s="286"/>
      <c r="AZ248" s="286"/>
      <c r="BA248" s="286"/>
      <c r="BB248" s="286"/>
      <c r="BC248" s="286"/>
      <c r="BD248" s="287"/>
      <c r="BE248" s="287"/>
      <c r="BF248" s="287"/>
      <c r="BG248" s="287"/>
      <c r="BH248" s="287"/>
      <c r="BI248" s="287"/>
      <c r="BJ248" s="287"/>
      <c r="BK248" s="287"/>
      <c r="BL248" s="287"/>
      <c r="BM248" s="287"/>
      <c r="BN248" s="287"/>
      <c r="BO248" s="287"/>
      <c r="BP248" s="287"/>
      <c r="BQ248" s="287"/>
      <c r="BR248" s="287"/>
      <c r="BS248" s="287"/>
      <c r="BT248" s="287"/>
      <c r="BU248" s="287"/>
      <c r="BV248" s="287"/>
      <c r="BW248" s="287"/>
      <c r="BX248" s="286"/>
      <c r="BY248" s="289"/>
      <c r="BZ248" s="289"/>
      <c r="CA248" s="289"/>
      <c r="CB248" s="289"/>
      <c r="CC248" s="289"/>
      <c r="CD248" s="289"/>
      <c r="CE248" s="289"/>
      <c r="CF248" s="289"/>
      <c r="CG248" s="287"/>
      <c r="CH248" s="287"/>
      <c r="CI248" s="287"/>
      <c r="CJ248" s="287"/>
      <c r="CK248" s="287"/>
      <c r="CL248" s="287"/>
      <c r="CM248" s="287"/>
      <c r="CN248" s="287"/>
      <c r="CO248" s="287"/>
      <c r="CP248" s="287"/>
      <c r="CQ248" s="287"/>
      <c r="CR248" s="287"/>
      <c r="CS248" s="6"/>
      <c r="CT248" s="6"/>
      <c r="CU248" s="6"/>
      <c r="CV248" s="6"/>
      <c r="CW248" s="6"/>
      <c r="CX248" s="6"/>
      <c r="CY248" s="6"/>
      <c r="CZ248" s="6"/>
      <c r="DA248" s="343">
        <f t="shared" si="10"/>
        <v>4.25</v>
      </c>
    </row>
    <row r="249" spans="1:105" ht="20" customHeight="1" x14ac:dyDescent="0.35">
      <c r="A249" s="290"/>
      <c r="B249" s="270" t="s">
        <v>852</v>
      </c>
      <c r="C249" s="270" t="s">
        <v>232</v>
      </c>
      <c r="D249" s="297" t="s">
        <v>632</v>
      </c>
      <c r="E249" s="270" t="s">
        <v>34</v>
      </c>
      <c r="F249" s="270" t="s">
        <v>1817</v>
      </c>
      <c r="G249" s="270" t="s">
        <v>39</v>
      </c>
      <c r="H249" s="298">
        <v>44</v>
      </c>
      <c r="I249" s="286"/>
      <c r="J249" s="286"/>
      <c r="K249" s="286"/>
      <c r="L249" s="286"/>
      <c r="M249" s="286"/>
      <c r="N249" s="286"/>
      <c r="O249" s="286"/>
      <c r="P249" s="286"/>
      <c r="Q249" s="286"/>
      <c r="R249" s="286"/>
      <c r="S249" s="286"/>
      <c r="T249" s="286"/>
      <c r="U249" s="286"/>
      <c r="V249" s="294"/>
      <c r="W249" s="286"/>
      <c r="X249" s="286"/>
      <c r="Y249" s="286"/>
      <c r="Z249" s="286"/>
      <c r="AA249" s="286"/>
      <c r="AB249" s="286"/>
      <c r="AC249" s="286"/>
      <c r="AD249" s="286"/>
      <c r="AE249" s="286"/>
      <c r="AF249" s="286"/>
      <c r="AG249" s="286"/>
      <c r="AH249" s="286"/>
      <c r="AI249" s="286"/>
      <c r="AJ249" s="286"/>
      <c r="AK249" s="287"/>
      <c r="AL249" s="288"/>
      <c r="AM249" s="287"/>
      <c r="AN249" s="287"/>
      <c r="AO249" s="287"/>
      <c r="AP249" s="286"/>
      <c r="AQ249" s="296"/>
      <c r="AR249" s="286"/>
      <c r="AS249" s="286"/>
      <c r="AT249" s="286"/>
      <c r="AU249" s="286"/>
      <c r="AV249" s="286"/>
      <c r="AW249" s="286"/>
      <c r="AX249" s="286"/>
      <c r="AY249" s="286"/>
      <c r="AZ249" s="286"/>
      <c r="BA249" s="286"/>
      <c r="BB249" s="286"/>
      <c r="BC249" s="286"/>
      <c r="BD249" s="287"/>
      <c r="BE249" s="287"/>
      <c r="BF249" s="287"/>
      <c r="BG249" s="287"/>
      <c r="BH249" s="287"/>
      <c r="BI249" s="287"/>
      <c r="BJ249" s="287"/>
      <c r="BK249" s="287"/>
      <c r="BL249" s="287"/>
      <c r="BM249" s="287"/>
      <c r="BN249" s="287"/>
      <c r="BO249" s="287"/>
      <c r="BP249" s="287"/>
      <c r="BQ249" s="287"/>
      <c r="BR249" s="287"/>
      <c r="BS249" s="287"/>
      <c r="BT249" s="287"/>
      <c r="BU249" s="287"/>
      <c r="BV249" s="287"/>
      <c r="BW249" s="287"/>
      <c r="BX249" s="286"/>
      <c r="BY249" s="289"/>
      <c r="BZ249" s="289"/>
      <c r="CA249" s="289"/>
      <c r="CB249" s="289"/>
      <c r="CC249" s="289"/>
      <c r="CD249" s="289"/>
      <c r="CE249" s="289"/>
      <c r="CF249" s="289"/>
      <c r="CG249" s="287"/>
      <c r="CH249" s="287"/>
      <c r="CI249" s="287"/>
      <c r="CJ249" s="287"/>
      <c r="CK249" s="287"/>
      <c r="CL249" s="287"/>
      <c r="CM249" s="287"/>
      <c r="CN249" s="287"/>
      <c r="CO249" s="287"/>
      <c r="CP249" s="287"/>
      <c r="CQ249" s="287"/>
      <c r="CR249" s="287"/>
      <c r="CS249" s="6"/>
      <c r="CT249" s="6"/>
      <c r="CU249" s="6"/>
      <c r="CV249" s="6"/>
      <c r="CW249" s="6"/>
      <c r="CX249" s="6"/>
      <c r="CY249" s="6"/>
      <c r="CZ249" s="6"/>
      <c r="DA249" s="343">
        <f t="shared" si="10"/>
        <v>44</v>
      </c>
    </row>
    <row r="250" spans="1:105" ht="20" customHeight="1" x14ac:dyDescent="0.35">
      <c r="A250" s="290">
        <v>520744</v>
      </c>
      <c r="B250" s="270" t="s">
        <v>853</v>
      </c>
      <c r="C250" s="270" t="s">
        <v>232</v>
      </c>
      <c r="D250" s="297" t="s">
        <v>632</v>
      </c>
      <c r="E250" s="270" t="s">
        <v>34</v>
      </c>
      <c r="F250" s="270" t="s">
        <v>613</v>
      </c>
      <c r="G250" s="270" t="s">
        <v>39</v>
      </c>
      <c r="H250" s="298">
        <f>H248/30*5</f>
        <v>0.70833333333333326</v>
      </c>
      <c r="I250" s="300">
        <v>11</v>
      </c>
      <c r="J250" s="292">
        <v>10</v>
      </c>
      <c r="K250" s="286"/>
      <c r="L250" s="286">
        <v>12</v>
      </c>
      <c r="M250" s="286"/>
      <c r="N250" s="292">
        <v>10.5</v>
      </c>
      <c r="O250" s="286">
        <v>10.5</v>
      </c>
      <c r="P250" s="292">
        <v>11</v>
      </c>
      <c r="Q250" s="286">
        <v>11</v>
      </c>
      <c r="R250" s="286">
        <v>11</v>
      </c>
      <c r="S250" s="286">
        <v>11</v>
      </c>
      <c r="T250" s="286">
        <v>10</v>
      </c>
      <c r="U250" s="286"/>
      <c r="V250" s="294"/>
      <c r="W250" s="286"/>
      <c r="X250" s="286"/>
      <c r="Y250" s="286"/>
      <c r="Z250" s="286"/>
      <c r="AA250" s="286">
        <v>13.5</v>
      </c>
      <c r="AB250" s="286"/>
      <c r="AC250" s="286">
        <v>10.5</v>
      </c>
      <c r="AD250" s="286"/>
      <c r="AE250" s="286"/>
      <c r="AF250" s="286"/>
      <c r="AG250" s="286">
        <v>11.5</v>
      </c>
      <c r="AH250" s="286"/>
      <c r="AI250" s="286">
        <v>10</v>
      </c>
      <c r="AJ250" s="286"/>
      <c r="AK250" s="295">
        <v>10.5</v>
      </c>
      <c r="AL250" s="288">
        <v>10</v>
      </c>
      <c r="AM250" s="287">
        <v>11</v>
      </c>
      <c r="AN250" s="287"/>
      <c r="AO250" s="287">
        <v>10</v>
      </c>
      <c r="AP250" s="286">
        <v>10</v>
      </c>
      <c r="AQ250" s="296">
        <v>11.5</v>
      </c>
      <c r="AR250" s="286">
        <v>10</v>
      </c>
      <c r="AS250" s="286"/>
      <c r="AT250" s="286">
        <v>10</v>
      </c>
      <c r="AU250" s="286">
        <v>10</v>
      </c>
      <c r="AV250" s="286">
        <v>10</v>
      </c>
      <c r="AW250" s="286">
        <v>10</v>
      </c>
      <c r="AX250" s="286">
        <v>10</v>
      </c>
      <c r="AY250" s="286">
        <v>10</v>
      </c>
      <c r="AZ250" s="286">
        <v>10</v>
      </c>
      <c r="BA250" s="286">
        <v>10</v>
      </c>
      <c r="BB250" s="286">
        <f>BA250</f>
        <v>10</v>
      </c>
      <c r="BC250" s="286">
        <v>10</v>
      </c>
      <c r="BD250" s="287"/>
      <c r="BE250" s="286">
        <v>10</v>
      </c>
      <c r="BF250" s="287"/>
      <c r="BG250" s="288">
        <v>11.5</v>
      </c>
      <c r="BH250" s="286">
        <v>10</v>
      </c>
      <c r="BI250" s="287"/>
      <c r="BJ250" s="287"/>
      <c r="BK250" s="287"/>
      <c r="BL250" s="287"/>
      <c r="BM250" s="287"/>
      <c r="BN250" s="287"/>
      <c r="BO250" s="287"/>
      <c r="BP250" s="287"/>
      <c r="BQ250" s="287"/>
      <c r="BR250" s="287"/>
      <c r="BS250" s="287"/>
      <c r="BT250" s="287"/>
      <c r="BU250" s="287">
        <v>11</v>
      </c>
      <c r="BV250" s="287"/>
      <c r="BW250" s="287"/>
      <c r="BX250" s="286">
        <f>J250</f>
        <v>10</v>
      </c>
      <c r="BY250" s="289"/>
      <c r="BZ250" s="289">
        <v>11</v>
      </c>
      <c r="CA250" s="289"/>
      <c r="CB250" s="289"/>
      <c r="CC250" s="289"/>
      <c r="CD250" s="289"/>
      <c r="CE250" s="289"/>
      <c r="CF250" s="289"/>
      <c r="CG250" s="287"/>
      <c r="CH250" s="287"/>
      <c r="CI250" s="287"/>
      <c r="CJ250" s="287"/>
      <c r="CK250" s="287"/>
      <c r="CL250" s="287"/>
      <c r="CM250" s="286">
        <v>10</v>
      </c>
      <c r="CN250" s="286">
        <v>10</v>
      </c>
      <c r="CO250" s="292">
        <v>10</v>
      </c>
      <c r="CP250" s="287"/>
      <c r="CQ250" s="287">
        <v>10.5</v>
      </c>
      <c r="CR250" s="286">
        <v>11</v>
      </c>
      <c r="CS250" s="288">
        <f>I250</f>
        <v>11</v>
      </c>
      <c r="CT250" s="6"/>
      <c r="CU250" s="6"/>
      <c r="CV250" s="6"/>
      <c r="CW250" s="6"/>
      <c r="CX250" s="6"/>
      <c r="CY250" s="6"/>
      <c r="CZ250" s="6"/>
      <c r="DA250" s="343">
        <f>H250</f>
        <v>0.70833333333333326</v>
      </c>
    </row>
    <row r="251" spans="1:105" ht="20" customHeight="1" x14ac:dyDescent="0.35">
      <c r="A251" s="290" t="s">
        <v>2081</v>
      </c>
      <c r="B251" s="270" t="s">
        <v>853</v>
      </c>
      <c r="C251" s="270" t="s">
        <v>232</v>
      </c>
      <c r="D251" s="297" t="s">
        <v>632</v>
      </c>
      <c r="E251" s="270" t="s">
        <v>34</v>
      </c>
      <c r="F251" s="270" t="s">
        <v>613</v>
      </c>
      <c r="G251" s="270" t="s">
        <v>39</v>
      </c>
      <c r="H251" s="298">
        <f>H249/30*5</f>
        <v>7.333333333333333</v>
      </c>
      <c r="I251" s="292">
        <v>10</v>
      </c>
      <c r="J251" s="292"/>
      <c r="K251" s="286"/>
      <c r="L251" s="286"/>
      <c r="M251" s="286"/>
      <c r="N251" s="292"/>
      <c r="O251" s="286"/>
      <c r="P251" s="292"/>
      <c r="Q251" s="286"/>
      <c r="R251" s="286"/>
      <c r="S251" s="286"/>
      <c r="T251" s="286"/>
      <c r="U251" s="286"/>
      <c r="V251" s="294"/>
      <c r="W251" s="286"/>
      <c r="X251" s="286"/>
      <c r="Y251" s="286"/>
      <c r="Z251" s="286"/>
      <c r="AA251" s="286"/>
      <c r="AB251" s="286"/>
      <c r="AC251" s="286"/>
      <c r="AD251" s="286"/>
      <c r="AE251" s="286"/>
      <c r="AF251" s="286"/>
      <c r="AG251" s="286"/>
      <c r="AH251" s="286"/>
      <c r="AI251" s="286"/>
      <c r="AJ251" s="286"/>
      <c r="AK251" s="295"/>
      <c r="AL251" s="288"/>
      <c r="AM251" s="287"/>
      <c r="AN251" s="287"/>
      <c r="AO251" s="287"/>
      <c r="AP251" s="286"/>
      <c r="AQ251" s="296"/>
      <c r="AR251" s="286"/>
      <c r="AS251" s="286"/>
      <c r="AT251" s="286"/>
      <c r="AU251" s="286"/>
      <c r="AV251" s="286"/>
      <c r="AW251" s="286"/>
      <c r="AX251" s="286"/>
      <c r="AY251" s="286"/>
      <c r="AZ251" s="286"/>
      <c r="BA251" s="286"/>
      <c r="BB251" s="286"/>
      <c r="BC251" s="286"/>
      <c r="BD251" s="287"/>
      <c r="BE251" s="286"/>
      <c r="BF251" s="287"/>
      <c r="BG251" s="288"/>
      <c r="BH251" s="286"/>
      <c r="BI251" s="287"/>
      <c r="BJ251" s="287"/>
      <c r="BK251" s="287"/>
      <c r="BL251" s="287"/>
      <c r="BM251" s="287"/>
      <c r="BN251" s="287"/>
      <c r="BO251" s="287"/>
      <c r="BP251" s="287"/>
      <c r="BQ251" s="287"/>
      <c r="BR251" s="287"/>
      <c r="BS251" s="287"/>
      <c r="BT251" s="287"/>
      <c r="BU251" s="287"/>
      <c r="BV251" s="287"/>
      <c r="BW251" s="287"/>
      <c r="BX251" s="286"/>
      <c r="BY251" s="289"/>
      <c r="BZ251" s="289"/>
      <c r="CA251" s="289"/>
      <c r="CB251" s="289"/>
      <c r="CC251" s="289"/>
      <c r="CD251" s="289"/>
      <c r="CE251" s="289"/>
      <c r="CF251" s="289"/>
      <c r="CG251" s="287"/>
      <c r="CH251" s="287"/>
      <c r="CI251" s="287"/>
      <c r="CJ251" s="287"/>
      <c r="CK251" s="287"/>
      <c r="CL251" s="287"/>
      <c r="CM251" s="286"/>
      <c r="CN251" s="286"/>
      <c r="CO251" s="292"/>
      <c r="CP251" s="287"/>
      <c r="CQ251" s="287">
        <v>10.5</v>
      </c>
      <c r="CR251" s="286"/>
      <c r="CS251" s="288">
        <f>I251</f>
        <v>10</v>
      </c>
      <c r="CT251" s="6"/>
      <c r="CU251" s="6"/>
      <c r="CV251" s="6"/>
      <c r="CW251" s="6"/>
      <c r="CX251" s="6"/>
      <c r="CY251" s="6"/>
      <c r="CZ251" s="6"/>
      <c r="DA251" s="343">
        <f t="shared" si="10"/>
        <v>7.333333333333333</v>
      </c>
    </row>
    <row r="252" spans="1:105" ht="20" customHeight="1" x14ac:dyDescent="0.35">
      <c r="A252" s="290"/>
      <c r="B252" s="270" t="s">
        <v>854</v>
      </c>
      <c r="C252" s="270" t="s">
        <v>232</v>
      </c>
      <c r="D252" s="270"/>
      <c r="E252" s="270" t="s">
        <v>34</v>
      </c>
      <c r="F252" s="270" t="s">
        <v>62</v>
      </c>
      <c r="G252" s="270" t="s">
        <v>39</v>
      </c>
      <c r="H252" s="298">
        <f>H249/30</f>
        <v>1.4666666666666666</v>
      </c>
      <c r="I252" s="286">
        <f>I251/5+0.2</f>
        <v>2.2000000000000002</v>
      </c>
      <c r="J252" s="286"/>
      <c r="K252" s="286"/>
      <c r="L252" s="286"/>
      <c r="M252" s="286"/>
      <c r="N252" s="286"/>
      <c r="O252" s="286"/>
      <c r="P252" s="286"/>
      <c r="Q252" s="286">
        <v>2.2999999999999998</v>
      </c>
      <c r="R252" s="286"/>
      <c r="S252" s="286"/>
      <c r="T252" s="286"/>
      <c r="U252" s="286"/>
      <c r="V252" s="294"/>
      <c r="W252" s="286"/>
      <c r="X252" s="286"/>
      <c r="Y252" s="286"/>
      <c r="Z252" s="286"/>
      <c r="AA252" s="286"/>
      <c r="AB252" s="286"/>
      <c r="AC252" s="286"/>
      <c r="AD252" s="286"/>
      <c r="AE252" s="286"/>
      <c r="AF252" s="286"/>
      <c r="AG252" s="286"/>
      <c r="AH252" s="286"/>
      <c r="AI252" s="286"/>
      <c r="AJ252" s="286">
        <v>2.2999999999999998</v>
      </c>
      <c r="AK252" s="287"/>
      <c r="AL252" s="288"/>
      <c r="AM252" s="287">
        <v>2.2999999999999998</v>
      </c>
      <c r="AN252" s="287"/>
      <c r="AO252" s="287"/>
      <c r="AP252" s="286"/>
      <c r="AQ252" s="296"/>
      <c r="AR252" s="286"/>
      <c r="AS252" s="286"/>
      <c r="AT252" s="286"/>
      <c r="AU252" s="286"/>
      <c r="AV252" s="286"/>
      <c r="AW252" s="286"/>
      <c r="AX252" s="286"/>
      <c r="AY252" s="286"/>
      <c r="AZ252" s="286"/>
      <c r="BA252" s="286"/>
      <c r="BB252" s="286"/>
      <c r="BC252" s="286"/>
      <c r="BD252" s="287"/>
      <c r="BE252" s="287"/>
      <c r="BF252" s="287"/>
      <c r="BG252" s="287"/>
      <c r="BH252" s="287"/>
      <c r="BI252" s="287"/>
      <c r="BJ252" s="287"/>
      <c r="BK252" s="287"/>
      <c r="BL252" s="287"/>
      <c r="BM252" s="287"/>
      <c r="BN252" s="287"/>
      <c r="BO252" s="287"/>
      <c r="BP252" s="287"/>
      <c r="BQ252" s="287"/>
      <c r="BR252" s="287"/>
      <c r="BS252" s="287"/>
      <c r="BT252" s="287"/>
      <c r="BU252" s="287"/>
      <c r="BV252" s="287"/>
      <c r="BW252" s="287"/>
      <c r="BX252" s="286"/>
      <c r="BY252" s="289">
        <v>2.1</v>
      </c>
      <c r="BZ252" s="289"/>
      <c r="CA252" s="289"/>
      <c r="CB252" s="289"/>
      <c r="CC252" s="289"/>
      <c r="CD252" s="289"/>
      <c r="CE252" s="289"/>
      <c r="CF252" s="289"/>
      <c r="CG252" s="287"/>
      <c r="CH252" s="287"/>
      <c r="CI252" s="287"/>
      <c r="CJ252" s="287">
        <v>2.1</v>
      </c>
      <c r="CK252" s="287"/>
      <c r="CL252" s="287"/>
      <c r="CM252" s="287"/>
      <c r="CN252" s="287"/>
      <c r="CO252" s="287"/>
      <c r="CP252" s="287"/>
      <c r="CQ252" s="287"/>
      <c r="CR252" s="287"/>
      <c r="CS252" s="288">
        <f>I252</f>
        <v>2.2000000000000002</v>
      </c>
      <c r="CT252" s="6"/>
      <c r="CU252" s="6"/>
      <c r="CV252" s="6"/>
      <c r="CW252" s="6"/>
      <c r="CX252" s="6"/>
      <c r="CY252" s="6"/>
      <c r="CZ252" s="6"/>
      <c r="DA252" s="343">
        <f t="shared" si="10"/>
        <v>1.4666666666666666</v>
      </c>
    </row>
    <row r="253" spans="1:105" ht="20" customHeight="1" x14ac:dyDescent="0.35">
      <c r="A253" s="290"/>
      <c r="B253" s="270" t="s">
        <v>855</v>
      </c>
      <c r="C253" s="270" t="s">
        <v>233</v>
      </c>
      <c r="D253" s="297" t="s">
        <v>632</v>
      </c>
      <c r="E253" s="270" t="s">
        <v>1061</v>
      </c>
      <c r="F253" s="270" t="s">
        <v>1819</v>
      </c>
      <c r="G253" s="270" t="s">
        <v>33</v>
      </c>
      <c r="H253" s="349">
        <f>H254*15</f>
        <v>132</v>
      </c>
      <c r="I253" s="292"/>
      <c r="J253" s="286"/>
      <c r="K253" s="286"/>
      <c r="L253" s="286"/>
      <c r="M253" s="286"/>
      <c r="N253" s="286"/>
      <c r="O253" s="286"/>
      <c r="P253" s="286"/>
      <c r="Q253" s="286"/>
      <c r="R253" s="286"/>
      <c r="S253" s="286"/>
      <c r="T253" s="286"/>
      <c r="U253" s="286"/>
      <c r="V253" s="294"/>
      <c r="W253" s="286"/>
      <c r="X253" s="286"/>
      <c r="Y253" s="286"/>
      <c r="Z253" s="286"/>
      <c r="AA253" s="286"/>
      <c r="AB253" s="286"/>
      <c r="AC253" s="286">
        <v>160</v>
      </c>
      <c r="AD253" s="286"/>
      <c r="AE253" s="286"/>
      <c r="AF253" s="286"/>
      <c r="AG253" s="286"/>
      <c r="AH253" s="286"/>
      <c r="AI253" s="286"/>
      <c r="AJ253" s="286"/>
      <c r="AK253" s="287"/>
      <c r="AL253" s="288"/>
      <c r="AM253" s="287"/>
      <c r="AN253" s="287"/>
      <c r="AO253" s="287"/>
      <c r="AP253" s="286"/>
      <c r="AQ253" s="296"/>
      <c r="AR253" s="286"/>
      <c r="AS253" s="286"/>
      <c r="AT253" s="286"/>
      <c r="AU253" s="286"/>
      <c r="AV253" s="286"/>
      <c r="AW253" s="286"/>
      <c r="AX253" s="286"/>
      <c r="AY253" s="286"/>
      <c r="AZ253" s="286"/>
      <c r="BA253" s="286"/>
      <c r="BB253" s="286"/>
      <c r="BC253" s="286"/>
      <c r="BD253" s="287"/>
      <c r="BE253" s="287"/>
      <c r="BF253" s="287"/>
      <c r="BG253" s="287"/>
      <c r="BH253" s="287"/>
      <c r="BI253" s="287"/>
      <c r="BJ253" s="287"/>
      <c r="BK253" s="287"/>
      <c r="BL253" s="287"/>
      <c r="BM253" s="287"/>
      <c r="BN253" s="287"/>
      <c r="BO253" s="287"/>
      <c r="BP253" s="287"/>
      <c r="BQ253" s="287"/>
      <c r="BR253" s="287"/>
      <c r="BS253" s="287"/>
      <c r="BT253" s="287"/>
      <c r="BU253" s="287"/>
      <c r="BV253" s="287"/>
      <c r="BW253" s="287"/>
      <c r="BX253" s="286"/>
      <c r="BY253" s="289"/>
      <c r="BZ253" s="289"/>
      <c r="CA253" s="289"/>
      <c r="CB253" s="289"/>
      <c r="CC253" s="289"/>
      <c r="CD253" s="289"/>
      <c r="CE253" s="289"/>
      <c r="CF253" s="289"/>
      <c r="CG253" s="287"/>
      <c r="CH253" s="287"/>
      <c r="CI253" s="287"/>
      <c r="CJ253" s="287"/>
      <c r="CK253" s="287"/>
      <c r="CL253" s="287"/>
      <c r="CM253" s="287"/>
      <c r="CN253" s="287"/>
      <c r="CO253" s="287"/>
      <c r="CP253" s="287"/>
      <c r="CQ253" s="287"/>
      <c r="CR253" s="287"/>
      <c r="CS253" s="6"/>
      <c r="CT253" s="6"/>
      <c r="CU253" s="6"/>
      <c r="CV253" s="6"/>
      <c r="CW253" s="6"/>
      <c r="CX253" s="6"/>
      <c r="CY253" s="6"/>
      <c r="CZ253" s="6"/>
      <c r="DA253" s="343">
        <f t="shared" si="10"/>
        <v>132</v>
      </c>
    </row>
    <row r="254" spans="1:105" ht="20" customHeight="1" x14ac:dyDescent="0.35">
      <c r="A254" s="290">
        <v>520714</v>
      </c>
      <c r="B254" s="270" t="s">
        <v>856</v>
      </c>
      <c r="C254" s="270" t="s">
        <v>233</v>
      </c>
      <c r="D254" s="297" t="s">
        <v>632</v>
      </c>
      <c r="E254" s="270" t="s">
        <v>196</v>
      </c>
      <c r="F254" s="270" t="s">
        <v>2291</v>
      </c>
      <c r="G254" s="270" t="s">
        <v>38</v>
      </c>
      <c r="H254" s="349">
        <v>8.8000000000000007</v>
      </c>
      <c r="I254" s="300">
        <v>15</v>
      </c>
      <c r="J254" s="292">
        <v>12</v>
      </c>
      <c r="K254" s="286"/>
      <c r="L254" s="286">
        <v>14</v>
      </c>
      <c r="M254" s="286"/>
      <c r="N254" s="292">
        <v>13</v>
      </c>
      <c r="O254" s="286">
        <v>12</v>
      </c>
      <c r="P254" s="292">
        <v>13</v>
      </c>
      <c r="Q254" s="286">
        <v>13</v>
      </c>
      <c r="R254" s="286"/>
      <c r="S254" s="286">
        <v>15</v>
      </c>
      <c r="T254" s="286">
        <v>12</v>
      </c>
      <c r="U254" s="286"/>
      <c r="V254" s="294"/>
      <c r="W254" s="286"/>
      <c r="X254" s="286"/>
      <c r="Y254" s="286"/>
      <c r="Z254" s="286"/>
      <c r="AA254" s="286"/>
      <c r="AB254" s="286">
        <v>13</v>
      </c>
      <c r="AC254" s="286">
        <v>14</v>
      </c>
      <c r="AD254" s="286"/>
      <c r="AE254" s="286"/>
      <c r="AF254" s="286"/>
      <c r="AG254" s="286"/>
      <c r="AH254" s="286"/>
      <c r="AI254" s="286">
        <v>12</v>
      </c>
      <c r="AJ254" s="286"/>
      <c r="AK254" s="295"/>
      <c r="AL254" s="288"/>
      <c r="AM254" s="287">
        <v>13</v>
      </c>
      <c r="AN254" s="287"/>
      <c r="AO254" s="287"/>
      <c r="AP254" s="286">
        <v>12</v>
      </c>
      <c r="AQ254" s="296">
        <v>13</v>
      </c>
      <c r="AR254" s="286">
        <v>12</v>
      </c>
      <c r="AS254" s="286"/>
      <c r="AT254" s="286"/>
      <c r="AU254" s="286"/>
      <c r="AV254" s="286"/>
      <c r="AW254" s="286"/>
      <c r="AX254" s="286"/>
      <c r="AY254" s="286">
        <v>12</v>
      </c>
      <c r="AZ254" s="286"/>
      <c r="BA254" s="286"/>
      <c r="BB254" s="286">
        <v>12</v>
      </c>
      <c r="BC254" s="286"/>
      <c r="BD254" s="287"/>
      <c r="BE254" s="287"/>
      <c r="BF254" s="287"/>
      <c r="BG254" s="288">
        <v>13</v>
      </c>
      <c r="BH254" s="287"/>
      <c r="BI254" s="287"/>
      <c r="BJ254" s="287"/>
      <c r="BK254" s="287">
        <v>14</v>
      </c>
      <c r="BL254" s="287"/>
      <c r="BM254" s="287"/>
      <c r="BN254" s="287"/>
      <c r="BO254" s="287"/>
      <c r="BP254" s="287"/>
      <c r="BQ254" s="287"/>
      <c r="BR254" s="287"/>
      <c r="BS254" s="287"/>
      <c r="BT254" s="287"/>
      <c r="BU254" s="287">
        <v>13</v>
      </c>
      <c r="BV254" s="287"/>
      <c r="BW254" s="287"/>
      <c r="BX254" s="286"/>
      <c r="BY254" s="289"/>
      <c r="BZ254" s="289">
        <v>0</v>
      </c>
      <c r="CA254" s="289"/>
      <c r="CB254" s="289"/>
      <c r="CC254" s="289"/>
      <c r="CD254" s="289"/>
      <c r="CE254" s="289"/>
      <c r="CF254" s="289"/>
      <c r="CG254" s="287"/>
      <c r="CH254" s="287"/>
      <c r="CI254" s="287"/>
      <c r="CJ254" s="287"/>
      <c r="CK254" s="287"/>
      <c r="CL254" s="292">
        <v>14</v>
      </c>
      <c r="CM254" s="292">
        <v>12</v>
      </c>
      <c r="CN254" s="292">
        <v>12</v>
      </c>
      <c r="CO254" s="292">
        <v>12</v>
      </c>
      <c r="CP254" s="287"/>
      <c r="CQ254" s="287">
        <v>15</v>
      </c>
      <c r="CR254" s="287"/>
      <c r="CS254" s="288">
        <v>13</v>
      </c>
      <c r="CT254" s="6"/>
      <c r="CU254" s="6"/>
      <c r="CV254" s="6"/>
      <c r="CW254" s="6"/>
      <c r="CX254" s="6"/>
      <c r="CY254" s="6"/>
      <c r="CZ254" s="6"/>
      <c r="DA254" s="343">
        <f t="shared" si="10"/>
        <v>8.8000000000000007</v>
      </c>
    </row>
    <row r="255" spans="1:105" ht="20" customHeight="1" x14ac:dyDescent="0.35">
      <c r="A255" s="290" t="s">
        <v>2083</v>
      </c>
      <c r="B255" s="270" t="s">
        <v>856</v>
      </c>
      <c r="C255" s="270" t="s">
        <v>233</v>
      </c>
      <c r="D255" s="297" t="s">
        <v>632</v>
      </c>
      <c r="E255" s="270" t="s">
        <v>196</v>
      </c>
      <c r="F255" s="270" t="s">
        <v>2291</v>
      </c>
      <c r="G255" s="270" t="s">
        <v>38</v>
      </c>
      <c r="H255" s="349">
        <v>8.8000000000000007</v>
      </c>
      <c r="I255" s="292">
        <v>12</v>
      </c>
      <c r="J255" s="292"/>
      <c r="K255" s="286"/>
      <c r="L255" s="286"/>
      <c r="M255" s="286"/>
      <c r="N255" s="292"/>
      <c r="O255" s="286"/>
      <c r="P255" s="292"/>
      <c r="Q255" s="286"/>
      <c r="R255" s="286"/>
      <c r="S255" s="286"/>
      <c r="T255" s="286"/>
      <c r="U255" s="286"/>
      <c r="V255" s="294"/>
      <c r="W255" s="286"/>
      <c r="X255" s="286"/>
      <c r="Y255" s="286"/>
      <c r="Z255" s="286"/>
      <c r="AA255" s="286"/>
      <c r="AB255" s="286"/>
      <c r="AC255" s="286"/>
      <c r="AD255" s="286"/>
      <c r="AE255" s="286"/>
      <c r="AF255" s="286"/>
      <c r="AG255" s="286"/>
      <c r="AH255" s="286"/>
      <c r="AI255" s="286"/>
      <c r="AJ255" s="286"/>
      <c r="AK255" s="295"/>
      <c r="AL255" s="288"/>
      <c r="AM255" s="287"/>
      <c r="AN255" s="287"/>
      <c r="AO255" s="287"/>
      <c r="AP255" s="286"/>
      <c r="AQ255" s="296"/>
      <c r="AR255" s="286"/>
      <c r="AS255" s="286"/>
      <c r="AT255" s="286"/>
      <c r="AU255" s="286"/>
      <c r="AV255" s="286"/>
      <c r="AW255" s="286"/>
      <c r="AX255" s="286"/>
      <c r="AY255" s="286"/>
      <c r="AZ255" s="286"/>
      <c r="BA255" s="286"/>
      <c r="BB255" s="286"/>
      <c r="BC255" s="286"/>
      <c r="BD255" s="287"/>
      <c r="BE255" s="287"/>
      <c r="BF255" s="287"/>
      <c r="BG255" s="288"/>
      <c r="BH255" s="287"/>
      <c r="BI255" s="287"/>
      <c r="BJ255" s="287"/>
      <c r="BK255" s="287"/>
      <c r="BL255" s="287"/>
      <c r="BM255" s="287"/>
      <c r="BN255" s="287"/>
      <c r="BO255" s="287"/>
      <c r="BP255" s="287"/>
      <c r="BQ255" s="287"/>
      <c r="BR255" s="287"/>
      <c r="BS255" s="287"/>
      <c r="BT255" s="287"/>
      <c r="BU255" s="287"/>
      <c r="BV255" s="287"/>
      <c r="BW255" s="287"/>
      <c r="BX255" s="286"/>
      <c r="BY255" s="289"/>
      <c r="BZ255" s="289"/>
      <c r="CA255" s="289"/>
      <c r="CB255" s="289"/>
      <c r="CC255" s="289"/>
      <c r="CD255" s="289"/>
      <c r="CE255" s="289"/>
      <c r="CF255" s="289"/>
      <c r="CG255" s="287"/>
      <c r="CH255" s="287"/>
      <c r="CI255" s="287"/>
      <c r="CJ255" s="287"/>
      <c r="CK255" s="287"/>
      <c r="CL255" s="292"/>
      <c r="CM255" s="292"/>
      <c r="CN255" s="292"/>
      <c r="CO255" s="292"/>
      <c r="CP255" s="287"/>
      <c r="CQ255" s="287">
        <v>15</v>
      </c>
      <c r="CR255" s="287"/>
      <c r="CS255" s="288">
        <v>13</v>
      </c>
      <c r="CT255" s="6"/>
      <c r="CU255" s="6"/>
      <c r="CV255" s="6"/>
      <c r="CW255" s="6"/>
      <c r="CX255" s="6"/>
      <c r="CY255" s="6"/>
      <c r="CZ255" s="6"/>
      <c r="DA255" s="343">
        <f>H255</f>
        <v>8.8000000000000007</v>
      </c>
    </row>
    <row r="256" spans="1:105" ht="20" customHeight="1" x14ac:dyDescent="0.35">
      <c r="A256" s="290"/>
      <c r="B256" s="270" t="s">
        <v>857</v>
      </c>
      <c r="C256" s="270" t="s">
        <v>233</v>
      </c>
      <c r="D256" s="270"/>
      <c r="E256" s="270" t="s">
        <v>392</v>
      </c>
      <c r="F256" s="270" t="s">
        <v>858</v>
      </c>
      <c r="G256" s="270" t="s">
        <v>33</v>
      </c>
      <c r="H256" s="349">
        <f>H257*10</f>
        <v>97</v>
      </c>
      <c r="I256" s="292"/>
      <c r="J256" s="286"/>
      <c r="K256" s="286"/>
      <c r="L256" s="286"/>
      <c r="M256" s="286"/>
      <c r="N256" s="286"/>
      <c r="O256" s="286"/>
      <c r="P256" s="286"/>
      <c r="Q256" s="286"/>
      <c r="R256" s="286">
        <v>120</v>
      </c>
      <c r="S256" s="286"/>
      <c r="T256" s="286"/>
      <c r="U256" s="286"/>
      <c r="V256" s="294"/>
      <c r="W256" s="286"/>
      <c r="X256" s="286"/>
      <c r="Y256" s="286"/>
      <c r="Z256" s="286"/>
      <c r="AA256" s="286"/>
      <c r="AB256" s="286"/>
      <c r="AC256" s="286"/>
      <c r="AD256" s="286"/>
      <c r="AE256" s="286"/>
      <c r="AF256" s="286"/>
      <c r="AG256" s="286"/>
      <c r="AH256" s="286"/>
      <c r="AI256" s="286"/>
      <c r="AJ256" s="286"/>
      <c r="AK256" s="287"/>
      <c r="AL256" s="288"/>
      <c r="AM256" s="287"/>
      <c r="AN256" s="287"/>
      <c r="AO256" s="287"/>
      <c r="AP256" s="286"/>
      <c r="AQ256" s="296"/>
      <c r="AR256" s="286"/>
      <c r="AS256" s="286"/>
      <c r="AT256" s="286"/>
      <c r="AU256" s="286"/>
      <c r="AV256" s="286"/>
      <c r="AW256" s="286"/>
      <c r="AX256" s="286"/>
      <c r="AY256" s="286"/>
      <c r="AZ256" s="286"/>
      <c r="BA256" s="286"/>
      <c r="BB256" s="286"/>
      <c r="BC256" s="286"/>
      <c r="BD256" s="287"/>
      <c r="BE256" s="287"/>
      <c r="BF256" s="287"/>
      <c r="BG256" s="287"/>
      <c r="BH256" s="287"/>
      <c r="BI256" s="287"/>
      <c r="BJ256" s="287"/>
      <c r="BK256" s="287"/>
      <c r="BL256" s="287"/>
      <c r="BM256" s="287"/>
      <c r="BN256" s="287"/>
      <c r="BO256" s="287"/>
      <c r="BP256" s="287"/>
      <c r="BQ256" s="287"/>
      <c r="BR256" s="287"/>
      <c r="BS256" s="287"/>
      <c r="BT256" s="287"/>
      <c r="BU256" s="287"/>
      <c r="BV256" s="287"/>
      <c r="BW256" s="287"/>
      <c r="BX256" s="286"/>
      <c r="BY256" s="289"/>
      <c r="BZ256" s="289"/>
      <c r="CA256" s="289"/>
      <c r="CB256" s="289"/>
      <c r="CC256" s="289"/>
      <c r="CD256" s="289"/>
      <c r="CE256" s="289"/>
      <c r="CF256" s="289"/>
      <c r="CG256" s="287"/>
      <c r="CH256" s="287"/>
      <c r="CI256" s="287"/>
      <c r="CJ256" s="287"/>
      <c r="CK256" s="287"/>
      <c r="CL256" s="287"/>
      <c r="CM256" s="287"/>
      <c r="CN256" s="287"/>
      <c r="CO256" s="287"/>
      <c r="CP256" s="287"/>
      <c r="CQ256" s="287"/>
      <c r="CR256" s="287"/>
      <c r="CS256" s="6"/>
      <c r="CT256" s="6"/>
      <c r="CU256" s="6"/>
      <c r="CV256" s="6"/>
      <c r="CW256" s="6"/>
      <c r="CX256" s="6"/>
      <c r="CY256" s="6"/>
      <c r="CZ256" s="6"/>
      <c r="DA256" s="343">
        <f t="shared" si="10"/>
        <v>97</v>
      </c>
    </row>
    <row r="257" spans="1:105" ht="20" customHeight="1" x14ac:dyDescent="0.35">
      <c r="A257" s="290"/>
      <c r="B257" s="270" t="s">
        <v>859</v>
      </c>
      <c r="C257" s="270" t="s">
        <v>233</v>
      </c>
      <c r="D257" s="270" t="s">
        <v>630</v>
      </c>
      <c r="E257" s="270" t="s">
        <v>392</v>
      </c>
      <c r="F257" s="270" t="s">
        <v>32</v>
      </c>
      <c r="G257" s="270" t="s">
        <v>39</v>
      </c>
      <c r="H257" s="349">
        <v>9.6999999999999993</v>
      </c>
      <c r="I257" s="286">
        <v>14</v>
      </c>
      <c r="J257" s="292">
        <v>12</v>
      </c>
      <c r="K257" s="286"/>
      <c r="L257" s="286">
        <v>14</v>
      </c>
      <c r="M257" s="286"/>
      <c r="N257" s="286"/>
      <c r="O257" s="286"/>
      <c r="P257" s="286"/>
      <c r="Q257" s="286"/>
      <c r="R257" s="286"/>
      <c r="S257" s="286"/>
      <c r="T257" s="286"/>
      <c r="U257" s="286"/>
      <c r="V257" s="294"/>
      <c r="W257" s="286"/>
      <c r="X257" s="286"/>
      <c r="Y257" s="286"/>
      <c r="Z257" s="286"/>
      <c r="AA257" s="286"/>
      <c r="AB257" s="286"/>
      <c r="AC257" s="286"/>
      <c r="AD257" s="286"/>
      <c r="AE257" s="286"/>
      <c r="AF257" s="286"/>
      <c r="AG257" s="286"/>
      <c r="AH257" s="286"/>
      <c r="AI257" s="286"/>
      <c r="AJ257" s="286"/>
      <c r="AK257" s="295">
        <v>14</v>
      </c>
      <c r="AL257" s="288">
        <v>12</v>
      </c>
      <c r="AM257" s="287"/>
      <c r="AN257" s="287"/>
      <c r="AO257" s="286">
        <v>12</v>
      </c>
      <c r="AP257" s="286"/>
      <c r="AQ257" s="296">
        <v>15</v>
      </c>
      <c r="AR257" s="286"/>
      <c r="AS257" s="286"/>
      <c r="AT257" s="286">
        <v>12</v>
      </c>
      <c r="AU257" s="286">
        <v>12</v>
      </c>
      <c r="AV257" s="286">
        <v>12</v>
      </c>
      <c r="AW257" s="286">
        <v>12</v>
      </c>
      <c r="AX257" s="286">
        <v>12</v>
      </c>
      <c r="AY257" s="286"/>
      <c r="AZ257" s="286">
        <v>12</v>
      </c>
      <c r="BA257" s="286">
        <v>12</v>
      </c>
      <c r="BB257" s="286"/>
      <c r="BC257" s="286">
        <v>12</v>
      </c>
      <c r="BD257" s="287"/>
      <c r="BE257" s="287"/>
      <c r="BF257" s="287"/>
      <c r="BG257" s="288">
        <v>14</v>
      </c>
      <c r="BH257" s="287"/>
      <c r="BI257" s="287"/>
      <c r="BJ257" s="287"/>
      <c r="BK257" s="287"/>
      <c r="BL257" s="287"/>
      <c r="BM257" s="287"/>
      <c r="BN257" s="287"/>
      <c r="BO257" s="287"/>
      <c r="BP257" s="287"/>
      <c r="BQ257" s="287"/>
      <c r="BR257" s="287"/>
      <c r="BS257" s="287"/>
      <c r="BT257" s="287"/>
      <c r="BU257" s="287"/>
      <c r="BV257" s="287"/>
      <c r="BW257" s="287"/>
      <c r="BX257" s="286">
        <f>J257</f>
        <v>12</v>
      </c>
      <c r="BY257" s="289"/>
      <c r="BZ257" s="289">
        <v>13.5</v>
      </c>
      <c r="CA257" s="289"/>
      <c r="CB257" s="289"/>
      <c r="CC257" s="289"/>
      <c r="CD257" s="289"/>
      <c r="CE257" s="289"/>
      <c r="CF257" s="289"/>
      <c r="CG257" s="287"/>
      <c r="CH257" s="287"/>
      <c r="CI257" s="287"/>
      <c r="CJ257" s="287"/>
      <c r="CK257" s="287"/>
      <c r="CL257" s="289">
        <v>13.5</v>
      </c>
      <c r="CM257" s="287"/>
      <c r="CN257" s="287"/>
      <c r="CO257" s="287"/>
      <c r="CP257" s="287"/>
      <c r="CQ257" s="287">
        <v>14</v>
      </c>
      <c r="CR257" s="287">
        <v>15</v>
      </c>
      <c r="CS257" s="288">
        <f>I257</f>
        <v>14</v>
      </c>
      <c r="CT257" s="6"/>
      <c r="CU257" s="6"/>
      <c r="CV257" s="6"/>
      <c r="CW257" s="6"/>
      <c r="CX257" s="6"/>
      <c r="CY257" s="6"/>
      <c r="CZ257" s="6"/>
      <c r="DA257" s="343">
        <f t="shared" si="10"/>
        <v>9.6999999999999993</v>
      </c>
    </row>
    <row r="258" spans="1:105" ht="20" customHeight="1" x14ac:dyDescent="0.35">
      <c r="A258" s="290"/>
      <c r="B258" s="270" t="s">
        <v>860</v>
      </c>
      <c r="C258" s="270" t="s">
        <v>1616</v>
      </c>
      <c r="D258" s="297" t="s">
        <v>630</v>
      </c>
      <c r="E258" s="270" t="s">
        <v>396</v>
      </c>
      <c r="F258" s="270" t="s">
        <v>32</v>
      </c>
      <c r="G258" s="270" t="s">
        <v>39</v>
      </c>
      <c r="H258" s="349">
        <v>11</v>
      </c>
      <c r="I258" s="292"/>
      <c r="J258" s="292">
        <v>16</v>
      </c>
      <c r="K258" s="286"/>
      <c r="L258" s="286">
        <v>17</v>
      </c>
      <c r="M258" s="400"/>
      <c r="N258" s="292">
        <v>16</v>
      </c>
      <c r="O258" s="286">
        <v>17</v>
      </c>
      <c r="P258" s="292">
        <v>16</v>
      </c>
      <c r="Q258" s="286">
        <v>16</v>
      </c>
      <c r="R258" s="286">
        <v>16</v>
      </c>
      <c r="S258" s="286">
        <v>17</v>
      </c>
      <c r="T258" s="286">
        <v>16</v>
      </c>
      <c r="U258" s="286"/>
      <c r="V258" s="294"/>
      <c r="W258" s="286"/>
      <c r="X258" s="286"/>
      <c r="Y258" s="286"/>
      <c r="Z258" s="286"/>
      <c r="AA258" s="286"/>
      <c r="AB258" s="286">
        <v>16</v>
      </c>
      <c r="AC258" s="286"/>
      <c r="AD258" s="286"/>
      <c r="AE258" s="286"/>
      <c r="AF258" s="286"/>
      <c r="AG258" s="286"/>
      <c r="AH258" s="286"/>
      <c r="AI258" s="286"/>
      <c r="AJ258" s="286"/>
      <c r="AK258" s="287"/>
      <c r="AL258" s="288"/>
      <c r="AM258" s="287"/>
      <c r="AN258" s="287"/>
      <c r="AO258" s="287"/>
      <c r="AP258" s="286"/>
      <c r="AQ258" s="296"/>
      <c r="AR258" s="286"/>
      <c r="AS258" s="286"/>
      <c r="AT258" s="286"/>
      <c r="AU258" s="286">
        <v>16</v>
      </c>
      <c r="AV258" s="286"/>
      <c r="AW258" s="286"/>
      <c r="AX258" s="286"/>
      <c r="AY258" s="286"/>
      <c r="AZ258" s="286"/>
      <c r="BA258" s="286"/>
      <c r="BB258" s="286"/>
      <c r="BC258" s="286"/>
      <c r="BD258" s="287"/>
      <c r="BE258" s="287"/>
      <c r="BF258" s="287"/>
      <c r="BG258" s="288">
        <v>17</v>
      </c>
      <c r="BH258" s="287"/>
      <c r="BI258" s="287"/>
      <c r="BJ258" s="287"/>
      <c r="BK258" s="299">
        <v>18</v>
      </c>
      <c r="BL258" s="287"/>
      <c r="BM258" s="287"/>
      <c r="BN258" s="287"/>
      <c r="BO258" s="287"/>
      <c r="BP258" s="287"/>
      <c r="BQ258" s="287"/>
      <c r="BR258" s="287"/>
      <c r="BS258" s="287"/>
      <c r="BT258" s="287"/>
      <c r="BU258" s="287">
        <v>16</v>
      </c>
      <c r="BV258" s="287"/>
      <c r="BW258" s="287"/>
      <c r="BX258" s="286">
        <f>J258</f>
        <v>16</v>
      </c>
      <c r="BY258" s="289"/>
      <c r="BZ258" s="289"/>
      <c r="CA258" s="289"/>
      <c r="CB258" s="289"/>
      <c r="CC258" s="289"/>
      <c r="CD258" s="289"/>
      <c r="CE258" s="289"/>
      <c r="CF258" s="289"/>
      <c r="CG258" s="287"/>
      <c r="CH258" s="287"/>
      <c r="CI258" s="287"/>
      <c r="CJ258" s="287"/>
      <c r="CK258" s="287"/>
      <c r="CL258" s="287"/>
      <c r="CM258" s="287"/>
      <c r="CN258" s="287"/>
      <c r="CO258" s="287"/>
      <c r="CP258" s="287"/>
      <c r="CQ258" s="287"/>
      <c r="CR258" s="287"/>
      <c r="CS258" s="6"/>
      <c r="CT258" s="6"/>
      <c r="CU258" s="6"/>
      <c r="CV258" s="6"/>
      <c r="CW258" s="6"/>
      <c r="CX258" s="6"/>
      <c r="CY258" s="6"/>
      <c r="CZ258" s="6"/>
      <c r="DA258" s="343">
        <f t="shared" si="10"/>
        <v>11</v>
      </c>
    </row>
    <row r="259" spans="1:105" ht="20" customHeight="1" x14ac:dyDescent="0.35">
      <c r="A259" s="290"/>
      <c r="B259" s="270" t="s">
        <v>861</v>
      </c>
      <c r="C259" s="270" t="s">
        <v>1708</v>
      </c>
      <c r="D259" s="270" t="s">
        <v>1706</v>
      </c>
      <c r="E259" s="270" t="s">
        <v>34</v>
      </c>
      <c r="F259" s="270" t="s">
        <v>1707</v>
      </c>
      <c r="G259" s="270" t="s">
        <v>1644</v>
      </c>
      <c r="H259" s="349">
        <v>17.8</v>
      </c>
      <c r="I259" s="286"/>
      <c r="J259" s="292">
        <v>25</v>
      </c>
      <c r="K259" s="286"/>
      <c r="L259" s="286"/>
      <c r="M259" s="286"/>
      <c r="N259" s="286"/>
      <c r="O259" s="286"/>
      <c r="P259" s="286"/>
      <c r="Q259" s="286"/>
      <c r="R259" s="286"/>
      <c r="S259" s="286"/>
      <c r="T259" s="286"/>
      <c r="U259" s="286"/>
      <c r="V259" s="294"/>
      <c r="W259" s="286"/>
      <c r="X259" s="286"/>
      <c r="Y259" s="286"/>
      <c r="Z259" s="286"/>
      <c r="AA259" s="286"/>
      <c r="AB259" s="286"/>
      <c r="AC259" s="286"/>
      <c r="AD259" s="286"/>
      <c r="AE259" s="286"/>
      <c r="AF259" s="286"/>
      <c r="AG259" s="286"/>
      <c r="AH259" s="286"/>
      <c r="AI259" s="286"/>
      <c r="AJ259" s="286"/>
      <c r="AK259" s="287"/>
      <c r="AL259" s="288"/>
      <c r="AM259" s="287"/>
      <c r="AN259" s="287"/>
      <c r="AO259" s="287"/>
      <c r="AP259" s="286"/>
      <c r="AQ259" s="296"/>
      <c r="AR259" s="286"/>
      <c r="AS259" s="286"/>
      <c r="AT259" s="286"/>
      <c r="AU259" s="286"/>
      <c r="AV259" s="286"/>
      <c r="AW259" s="286"/>
      <c r="AX259" s="286"/>
      <c r="AY259" s="286"/>
      <c r="AZ259" s="286"/>
      <c r="BA259" s="286"/>
      <c r="BB259" s="286"/>
      <c r="BC259" s="286"/>
      <c r="BD259" s="287"/>
      <c r="BE259" s="287"/>
      <c r="BF259" s="287"/>
      <c r="BG259" s="287"/>
      <c r="BH259" s="287"/>
      <c r="BI259" s="287"/>
      <c r="BJ259" s="287"/>
      <c r="BK259" s="287"/>
      <c r="BL259" s="287"/>
      <c r="BM259" s="287"/>
      <c r="BN259" s="287"/>
      <c r="BO259" s="287"/>
      <c r="BP259" s="287"/>
      <c r="BQ259" s="287"/>
      <c r="BR259" s="287"/>
      <c r="BS259" s="287"/>
      <c r="BT259" s="287"/>
      <c r="BU259" s="287"/>
      <c r="BV259" s="287"/>
      <c r="BW259" s="287"/>
      <c r="BX259" s="286"/>
      <c r="BY259" s="289"/>
      <c r="BZ259" s="289"/>
      <c r="CA259" s="289"/>
      <c r="CB259" s="289"/>
      <c r="CC259" s="289"/>
      <c r="CD259" s="289"/>
      <c r="CE259" s="289"/>
      <c r="CF259" s="289"/>
      <c r="CG259" s="287"/>
      <c r="CH259" s="287"/>
      <c r="CI259" s="287"/>
      <c r="CJ259" s="287"/>
      <c r="CK259" s="287"/>
      <c r="CL259" s="287"/>
      <c r="CM259" s="287"/>
      <c r="CN259" s="287"/>
      <c r="CO259" s="287"/>
      <c r="CP259" s="287"/>
      <c r="CQ259" s="287"/>
      <c r="CR259" s="287"/>
      <c r="CS259" s="6"/>
      <c r="CT259" s="6"/>
      <c r="CU259" s="6"/>
      <c r="CV259" s="6"/>
      <c r="CW259" s="6"/>
      <c r="CX259" s="6"/>
      <c r="CY259" s="6"/>
      <c r="CZ259" s="6"/>
      <c r="DA259" s="343">
        <f t="shared" si="10"/>
        <v>17.8</v>
      </c>
    </row>
    <row r="260" spans="1:105" ht="20" customHeight="1" x14ac:dyDescent="0.35">
      <c r="A260" s="290">
        <v>520786</v>
      </c>
      <c r="B260" s="270" t="s">
        <v>862</v>
      </c>
      <c r="C260" s="270" t="s">
        <v>529</v>
      </c>
      <c r="D260" s="270" t="s">
        <v>630</v>
      </c>
      <c r="E260" s="270" t="s">
        <v>396</v>
      </c>
      <c r="F260" s="270" t="s">
        <v>32</v>
      </c>
      <c r="G260" s="270" t="s">
        <v>39</v>
      </c>
      <c r="H260" s="298">
        <v>11</v>
      </c>
      <c r="I260" s="286">
        <v>16</v>
      </c>
      <c r="J260" s="292">
        <v>16</v>
      </c>
      <c r="K260" s="286"/>
      <c r="L260" s="286">
        <v>17</v>
      </c>
      <c r="M260" s="400"/>
      <c r="N260" s="286"/>
      <c r="O260" s="286"/>
      <c r="P260" s="286"/>
      <c r="Q260" s="286"/>
      <c r="R260" s="286">
        <v>17</v>
      </c>
      <c r="S260" s="286"/>
      <c r="T260" s="286">
        <v>16</v>
      </c>
      <c r="U260" s="286"/>
      <c r="V260" s="294"/>
      <c r="W260" s="286"/>
      <c r="X260" s="286"/>
      <c r="Y260" s="286"/>
      <c r="Z260" s="286"/>
      <c r="AA260" s="286"/>
      <c r="AB260" s="286"/>
      <c r="AC260" s="286"/>
      <c r="AD260" s="286"/>
      <c r="AE260" s="286"/>
      <c r="AF260" s="286"/>
      <c r="AG260" s="286"/>
      <c r="AH260" s="286"/>
      <c r="AI260" s="286">
        <v>16</v>
      </c>
      <c r="AJ260" s="286"/>
      <c r="AK260" s="295">
        <v>17</v>
      </c>
      <c r="AL260" s="288">
        <v>16</v>
      </c>
      <c r="AM260" s="287"/>
      <c r="AN260" s="287"/>
      <c r="AO260" s="287">
        <v>16</v>
      </c>
      <c r="AP260" s="286">
        <v>16</v>
      </c>
      <c r="AQ260" s="296">
        <v>17</v>
      </c>
      <c r="AR260" s="286">
        <v>16</v>
      </c>
      <c r="AS260" s="286"/>
      <c r="AT260" s="286">
        <v>16</v>
      </c>
      <c r="AU260" s="286">
        <v>16</v>
      </c>
      <c r="AV260" s="286">
        <v>16</v>
      </c>
      <c r="AW260" s="286">
        <v>16</v>
      </c>
      <c r="AX260" s="286">
        <v>16</v>
      </c>
      <c r="AY260" s="286">
        <v>16</v>
      </c>
      <c r="AZ260" s="286">
        <v>16</v>
      </c>
      <c r="BA260" s="286">
        <v>16</v>
      </c>
      <c r="BB260" s="286">
        <f>BA260</f>
        <v>16</v>
      </c>
      <c r="BC260" s="286">
        <v>16</v>
      </c>
      <c r="BD260" s="287"/>
      <c r="BE260" s="287"/>
      <c r="BF260" s="287"/>
      <c r="BG260" s="288">
        <v>16</v>
      </c>
      <c r="BH260" s="286">
        <v>16</v>
      </c>
      <c r="BI260" s="287"/>
      <c r="BJ260" s="287"/>
      <c r="BK260" s="287"/>
      <c r="BL260" s="287"/>
      <c r="BM260" s="287"/>
      <c r="BN260" s="287"/>
      <c r="BO260" s="287"/>
      <c r="BP260" s="287"/>
      <c r="BQ260" s="287"/>
      <c r="BR260" s="287"/>
      <c r="BS260" s="287"/>
      <c r="BT260" s="287"/>
      <c r="BU260" s="287"/>
      <c r="BV260" s="287"/>
      <c r="BW260" s="287"/>
      <c r="BX260" s="286">
        <v>16</v>
      </c>
      <c r="BY260" s="289"/>
      <c r="BZ260" s="289">
        <v>17</v>
      </c>
      <c r="CA260" s="289"/>
      <c r="CB260" s="289"/>
      <c r="CC260" s="289"/>
      <c r="CD260" s="289"/>
      <c r="CE260" s="289"/>
      <c r="CF260" s="289"/>
      <c r="CG260" s="287"/>
      <c r="CH260" s="287"/>
      <c r="CI260" s="287"/>
      <c r="CJ260" s="287"/>
      <c r="CK260" s="287"/>
      <c r="CL260" s="287">
        <v>17</v>
      </c>
      <c r="CM260" s="292">
        <v>16</v>
      </c>
      <c r="CN260" s="292">
        <v>16</v>
      </c>
      <c r="CO260" s="292">
        <v>16</v>
      </c>
      <c r="CP260" s="287"/>
      <c r="CQ260" s="287">
        <v>16</v>
      </c>
      <c r="CR260" s="287">
        <v>18</v>
      </c>
      <c r="CS260" s="288">
        <f>I260</f>
        <v>16</v>
      </c>
      <c r="CT260" s="6"/>
      <c r="CU260" s="6"/>
      <c r="CV260" s="6"/>
      <c r="CW260" s="6"/>
      <c r="CX260" s="6"/>
      <c r="CY260" s="6"/>
      <c r="CZ260" s="6"/>
      <c r="DA260" s="343">
        <f t="shared" si="10"/>
        <v>11</v>
      </c>
    </row>
    <row r="261" spans="1:105" ht="20" customHeight="1" x14ac:dyDescent="0.35">
      <c r="A261" s="290" t="s">
        <v>2060</v>
      </c>
      <c r="B261" s="270" t="s">
        <v>862</v>
      </c>
      <c r="C261" s="270" t="s">
        <v>529</v>
      </c>
      <c r="D261" s="270" t="s">
        <v>630</v>
      </c>
      <c r="E261" s="270" t="s">
        <v>396</v>
      </c>
      <c r="F261" s="270" t="s">
        <v>32</v>
      </c>
      <c r="G261" s="270" t="s">
        <v>39</v>
      </c>
      <c r="H261" s="298">
        <v>11</v>
      </c>
      <c r="I261" s="286"/>
      <c r="J261" s="292"/>
      <c r="K261" s="286"/>
      <c r="L261" s="286"/>
      <c r="M261" s="286"/>
      <c r="N261" s="286"/>
      <c r="O261" s="286"/>
      <c r="P261" s="286"/>
      <c r="Q261" s="286"/>
      <c r="R261" s="286"/>
      <c r="S261" s="286"/>
      <c r="T261" s="286"/>
      <c r="U261" s="286"/>
      <c r="V261" s="294"/>
      <c r="W261" s="286"/>
      <c r="X261" s="286"/>
      <c r="Y261" s="286"/>
      <c r="Z261" s="286"/>
      <c r="AA261" s="286"/>
      <c r="AB261" s="286"/>
      <c r="AC261" s="286"/>
      <c r="AD261" s="286"/>
      <c r="AE261" s="286"/>
      <c r="AF261" s="286"/>
      <c r="AG261" s="286"/>
      <c r="AH261" s="286"/>
      <c r="AI261" s="286"/>
      <c r="AJ261" s="286"/>
      <c r="AK261" s="295"/>
      <c r="AL261" s="288"/>
      <c r="AM261" s="287"/>
      <c r="AN261" s="287"/>
      <c r="AO261" s="287"/>
      <c r="AP261" s="286"/>
      <c r="AQ261" s="296"/>
      <c r="AR261" s="286"/>
      <c r="AS261" s="286"/>
      <c r="AT261" s="286"/>
      <c r="AU261" s="286"/>
      <c r="AV261" s="286"/>
      <c r="AW261" s="286"/>
      <c r="AX261" s="286"/>
      <c r="AY261" s="286"/>
      <c r="AZ261" s="286"/>
      <c r="BA261" s="286"/>
      <c r="BB261" s="286"/>
      <c r="BC261" s="286"/>
      <c r="BD261" s="287"/>
      <c r="BE261" s="287"/>
      <c r="BF261" s="287"/>
      <c r="BG261" s="288"/>
      <c r="BH261" s="286"/>
      <c r="BI261" s="287"/>
      <c r="BJ261" s="287"/>
      <c r="BK261" s="287"/>
      <c r="BL261" s="287"/>
      <c r="BM261" s="287"/>
      <c r="BN261" s="287"/>
      <c r="BO261" s="287"/>
      <c r="BP261" s="287"/>
      <c r="BQ261" s="287"/>
      <c r="BR261" s="287"/>
      <c r="BS261" s="287"/>
      <c r="BT261" s="287"/>
      <c r="BU261" s="287"/>
      <c r="BV261" s="287"/>
      <c r="BW261" s="287"/>
      <c r="BX261" s="286"/>
      <c r="BY261" s="289"/>
      <c r="BZ261" s="289"/>
      <c r="CA261" s="289"/>
      <c r="CB261" s="289"/>
      <c r="CC261" s="289"/>
      <c r="CD261" s="289"/>
      <c r="CE261" s="289"/>
      <c r="CF261" s="289"/>
      <c r="CG261" s="287"/>
      <c r="CH261" s="287"/>
      <c r="CI261" s="287"/>
      <c r="CJ261" s="287"/>
      <c r="CK261" s="287"/>
      <c r="CL261" s="287"/>
      <c r="CM261" s="292"/>
      <c r="CN261" s="287"/>
      <c r="CO261" s="292"/>
      <c r="CP261" s="287"/>
      <c r="CQ261" s="287">
        <v>16</v>
      </c>
      <c r="CR261" s="287"/>
      <c r="CS261" s="288">
        <f>I261</f>
        <v>0</v>
      </c>
      <c r="CT261" s="6"/>
      <c r="CU261" s="6"/>
      <c r="CV261" s="6"/>
      <c r="CW261" s="6"/>
      <c r="CX261" s="6"/>
      <c r="CY261" s="6"/>
      <c r="CZ261" s="6"/>
      <c r="DA261" s="343">
        <f>H261</f>
        <v>11</v>
      </c>
    </row>
    <row r="262" spans="1:105" ht="20" customHeight="1" x14ac:dyDescent="0.35">
      <c r="A262" s="290" t="s">
        <v>65</v>
      </c>
      <c r="B262" s="270" t="s">
        <v>863</v>
      </c>
      <c r="C262" s="270" t="s">
        <v>314</v>
      </c>
      <c r="D262" s="297" t="s">
        <v>630</v>
      </c>
      <c r="E262" s="270" t="s">
        <v>392</v>
      </c>
      <c r="F262" s="270" t="s">
        <v>32</v>
      </c>
      <c r="G262" s="270" t="s">
        <v>39</v>
      </c>
      <c r="H262" s="298">
        <v>20</v>
      </c>
      <c r="I262" s="292">
        <v>25</v>
      </c>
      <c r="J262" s="292">
        <v>25</v>
      </c>
      <c r="K262" s="286"/>
      <c r="L262" s="286"/>
      <c r="M262" s="286"/>
      <c r="N262" s="286"/>
      <c r="O262" s="286"/>
      <c r="P262" s="292">
        <v>25</v>
      </c>
      <c r="Q262" s="286">
        <v>28</v>
      </c>
      <c r="R262" s="286">
        <v>24</v>
      </c>
      <c r="S262" s="286"/>
      <c r="T262" s="286">
        <v>25</v>
      </c>
      <c r="U262" s="286"/>
      <c r="V262" s="294"/>
      <c r="W262" s="286"/>
      <c r="X262" s="286"/>
      <c r="Y262" s="286"/>
      <c r="Z262" s="286"/>
      <c r="AA262" s="286"/>
      <c r="AB262" s="286"/>
      <c r="AC262" s="286">
        <v>25</v>
      </c>
      <c r="AD262" s="286"/>
      <c r="AE262" s="286"/>
      <c r="AF262" s="286"/>
      <c r="AG262" s="286"/>
      <c r="AH262" s="286"/>
      <c r="AI262" s="286"/>
      <c r="AJ262" s="286"/>
      <c r="AK262" s="295">
        <v>28</v>
      </c>
      <c r="AL262" s="288"/>
      <c r="AM262" s="287"/>
      <c r="AN262" s="287"/>
      <c r="AO262" s="287"/>
      <c r="AP262" s="286">
        <v>25</v>
      </c>
      <c r="AQ262" s="296">
        <v>26</v>
      </c>
      <c r="AR262" s="286">
        <v>25</v>
      </c>
      <c r="AS262" s="286"/>
      <c r="AT262" s="286">
        <v>25</v>
      </c>
      <c r="AU262" s="286">
        <v>25</v>
      </c>
      <c r="AV262" s="286">
        <v>25</v>
      </c>
      <c r="AW262" s="286">
        <v>25</v>
      </c>
      <c r="AX262" s="286">
        <v>25</v>
      </c>
      <c r="AY262" s="286">
        <v>25</v>
      </c>
      <c r="AZ262" s="286">
        <v>25</v>
      </c>
      <c r="BA262" s="286">
        <v>25</v>
      </c>
      <c r="BB262" s="286">
        <f>BA262</f>
        <v>25</v>
      </c>
      <c r="BC262" s="286">
        <v>25</v>
      </c>
      <c r="BD262" s="287"/>
      <c r="BE262" s="287"/>
      <c r="BF262" s="287"/>
      <c r="BG262" s="288">
        <v>28</v>
      </c>
      <c r="BH262" s="287"/>
      <c r="BI262" s="287"/>
      <c r="BJ262" s="287"/>
      <c r="BK262" s="287"/>
      <c r="BL262" s="287"/>
      <c r="BM262" s="287"/>
      <c r="BN262" s="287"/>
      <c r="BO262" s="287"/>
      <c r="BP262" s="287"/>
      <c r="BQ262" s="287"/>
      <c r="BR262" s="287"/>
      <c r="BS262" s="287"/>
      <c r="BT262" s="287"/>
      <c r="BU262" s="287"/>
      <c r="BV262" s="287"/>
      <c r="BW262" s="287"/>
      <c r="BX262" s="286"/>
      <c r="BY262" s="289"/>
      <c r="BZ262" s="289">
        <v>24</v>
      </c>
      <c r="CA262" s="289"/>
      <c r="CB262" s="289"/>
      <c r="CC262" s="289"/>
      <c r="CD262" s="289"/>
      <c r="CE262" s="289"/>
      <c r="CF262" s="289"/>
      <c r="CG262" s="287"/>
      <c r="CH262" s="287"/>
      <c r="CI262" s="287"/>
      <c r="CJ262" s="287"/>
      <c r="CK262" s="287"/>
      <c r="CL262" s="287"/>
      <c r="CM262" s="287"/>
      <c r="CN262" s="287"/>
      <c r="CO262" s="287"/>
      <c r="CP262" s="287"/>
      <c r="CQ262" s="287">
        <v>26</v>
      </c>
      <c r="CR262" s="287">
        <v>28</v>
      </c>
      <c r="CS262" s="288">
        <f>I262</f>
        <v>25</v>
      </c>
      <c r="CT262" s="6"/>
      <c r="CU262" s="6"/>
      <c r="CV262" s="6"/>
      <c r="CW262" s="6"/>
      <c r="CX262" s="6"/>
      <c r="CY262" s="6"/>
      <c r="CZ262" s="6"/>
      <c r="DA262" s="343">
        <f t="shared" si="10"/>
        <v>20</v>
      </c>
    </row>
    <row r="263" spans="1:105" ht="20" customHeight="1" x14ac:dyDescent="0.35">
      <c r="A263" s="314"/>
      <c r="B263" s="270"/>
      <c r="C263" s="270"/>
      <c r="D263" s="270"/>
      <c r="E263" s="270"/>
      <c r="F263" s="270"/>
      <c r="G263" s="270"/>
      <c r="H263" s="298">
        <f>H262/1000*100</f>
        <v>2</v>
      </c>
      <c r="I263" s="286"/>
      <c r="J263" s="286"/>
      <c r="K263" s="286"/>
      <c r="L263" s="286"/>
      <c r="M263" s="286"/>
      <c r="N263" s="286"/>
      <c r="O263" s="286"/>
      <c r="P263" s="286"/>
      <c r="Q263" s="286"/>
      <c r="R263" s="286"/>
      <c r="S263" s="286"/>
      <c r="T263" s="286"/>
      <c r="U263" s="286"/>
      <c r="V263" s="294"/>
      <c r="W263" s="286"/>
      <c r="X263" s="286"/>
      <c r="Y263" s="286"/>
      <c r="Z263" s="286"/>
      <c r="AA263" s="286"/>
      <c r="AB263" s="286"/>
      <c r="AC263" s="286"/>
      <c r="AD263" s="286"/>
      <c r="AE263" s="286"/>
      <c r="AF263" s="286"/>
      <c r="AG263" s="286"/>
      <c r="AH263" s="286"/>
      <c r="AI263" s="286"/>
      <c r="AJ263" s="286"/>
      <c r="AK263" s="287"/>
      <c r="AL263" s="288"/>
      <c r="AM263" s="287"/>
      <c r="AN263" s="287"/>
      <c r="AO263" s="287"/>
      <c r="AP263" s="286"/>
      <c r="AQ263" s="296"/>
      <c r="AR263" s="286"/>
      <c r="AS263" s="286"/>
      <c r="AT263" s="286"/>
      <c r="AU263" s="286"/>
      <c r="AV263" s="286"/>
      <c r="AW263" s="286"/>
      <c r="AX263" s="286"/>
      <c r="AY263" s="286"/>
      <c r="AZ263" s="286"/>
      <c r="BA263" s="286"/>
      <c r="BB263" s="286"/>
      <c r="BC263" s="286"/>
      <c r="BD263" s="287"/>
      <c r="BE263" s="287"/>
      <c r="BF263" s="287"/>
      <c r="BG263" s="287"/>
      <c r="BH263" s="287"/>
      <c r="BI263" s="287"/>
      <c r="BJ263" s="287"/>
      <c r="BK263" s="287"/>
      <c r="BL263" s="287"/>
      <c r="BM263" s="287"/>
      <c r="BN263" s="287"/>
      <c r="BO263" s="287"/>
      <c r="BP263" s="287"/>
      <c r="BQ263" s="287"/>
      <c r="BR263" s="287"/>
      <c r="BS263" s="287"/>
      <c r="BT263" s="287"/>
      <c r="BU263" s="287"/>
      <c r="BV263" s="287"/>
      <c r="BW263" s="287"/>
      <c r="BX263" s="286"/>
      <c r="BY263" s="289"/>
      <c r="BZ263" s="289"/>
      <c r="CA263" s="289"/>
      <c r="CB263" s="289"/>
      <c r="CC263" s="289"/>
      <c r="CD263" s="289"/>
      <c r="CE263" s="289"/>
      <c r="CF263" s="289"/>
      <c r="CG263" s="287"/>
      <c r="CH263" s="287"/>
      <c r="CI263" s="287"/>
      <c r="CJ263" s="287"/>
      <c r="CK263" s="287"/>
      <c r="CL263" s="287"/>
      <c r="CM263" s="287"/>
      <c r="CN263" s="287"/>
      <c r="CO263" s="287"/>
      <c r="CP263" s="287"/>
      <c r="CQ263" s="287"/>
      <c r="CR263" s="287"/>
      <c r="CS263" s="6"/>
      <c r="CT263" s="6"/>
      <c r="CU263" s="6"/>
      <c r="CV263" s="6"/>
      <c r="CW263" s="6"/>
      <c r="CX263" s="6"/>
      <c r="CY263" s="6"/>
      <c r="CZ263" s="6"/>
      <c r="DA263" s="343">
        <f t="shared" si="10"/>
        <v>2</v>
      </c>
    </row>
    <row r="264" spans="1:105" ht="20" customHeight="1" x14ac:dyDescent="0.35">
      <c r="A264" s="290" t="s">
        <v>84</v>
      </c>
      <c r="B264" s="270" t="s">
        <v>864</v>
      </c>
      <c r="C264" s="270" t="s">
        <v>1621</v>
      </c>
      <c r="D264" s="297" t="s">
        <v>630</v>
      </c>
      <c r="E264" s="270" t="s">
        <v>34</v>
      </c>
      <c r="F264" s="270" t="s">
        <v>32</v>
      </c>
      <c r="G264" s="270" t="s">
        <v>39</v>
      </c>
      <c r="H264" s="298">
        <v>4.3</v>
      </c>
      <c r="I264" s="300">
        <v>5</v>
      </c>
      <c r="J264" s="292">
        <v>5</v>
      </c>
      <c r="K264" s="286"/>
      <c r="L264" s="286"/>
      <c r="M264" s="286"/>
      <c r="N264" s="286"/>
      <c r="O264" s="286"/>
      <c r="P264" s="292">
        <v>5.3</v>
      </c>
      <c r="Q264" s="286">
        <v>5.5</v>
      </c>
      <c r="R264" s="286"/>
      <c r="S264" s="286">
        <v>6</v>
      </c>
      <c r="T264" s="286">
        <v>5</v>
      </c>
      <c r="U264" s="286"/>
      <c r="V264" s="294"/>
      <c r="W264" s="286"/>
      <c r="X264" s="286"/>
      <c r="Y264" s="286"/>
      <c r="Z264" s="286"/>
      <c r="AA264" s="286"/>
      <c r="AB264" s="286"/>
      <c r="AC264" s="286"/>
      <c r="AD264" s="286"/>
      <c r="AE264" s="286"/>
      <c r="AF264" s="286"/>
      <c r="AG264" s="286"/>
      <c r="AH264" s="286"/>
      <c r="AI264" s="286">
        <v>5</v>
      </c>
      <c r="AJ264" s="286"/>
      <c r="AK264" s="295">
        <v>5</v>
      </c>
      <c r="AL264" s="288"/>
      <c r="AM264" s="287">
        <v>5.2</v>
      </c>
      <c r="AN264" s="287"/>
      <c r="AO264" s="286">
        <v>5</v>
      </c>
      <c r="AP264" s="286">
        <v>5</v>
      </c>
      <c r="AQ264" s="296">
        <v>5</v>
      </c>
      <c r="AR264" s="286">
        <v>5</v>
      </c>
      <c r="AS264" s="286"/>
      <c r="AT264" s="286">
        <v>5</v>
      </c>
      <c r="AU264" s="286">
        <v>5</v>
      </c>
      <c r="AV264" s="286">
        <v>5</v>
      </c>
      <c r="AW264" s="286">
        <v>5</v>
      </c>
      <c r="AX264" s="286">
        <v>5</v>
      </c>
      <c r="AY264" s="286">
        <v>5</v>
      </c>
      <c r="AZ264" s="286">
        <v>5</v>
      </c>
      <c r="BA264" s="286">
        <v>5</v>
      </c>
      <c r="BB264" s="286">
        <f>BA264</f>
        <v>5</v>
      </c>
      <c r="BC264" s="286">
        <v>5</v>
      </c>
      <c r="BD264" s="287"/>
      <c r="BE264" s="287"/>
      <c r="BF264" s="287"/>
      <c r="BG264" s="288">
        <v>5</v>
      </c>
      <c r="BH264" s="286">
        <v>5</v>
      </c>
      <c r="BI264" s="287"/>
      <c r="BJ264" s="287"/>
      <c r="BK264" s="287"/>
      <c r="BL264" s="287"/>
      <c r="BM264" s="287"/>
      <c r="BN264" s="287"/>
      <c r="BO264" s="287"/>
      <c r="BP264" s="287"/>
      <c r="BQ264" s="287"/>
      <c r="BR264" s="287"/>
      <c r="BS264" s="287"/>
      <c r="BT264" s="287"/>
      <c r="BU264" s="287">
        <v>5.5</v>
      </c>
      <c r="BV264" s="287"/>
      <c r="BW264" s="287"/>
      <c r="BX264" s="286">
        <f>J264</f>
        <v>5</v>
      </c>
      <c r="BY264" s="289"/>
      <c r="BZ264" s="289">
        <v>0</v>
      </c>
      <c r="CA264" s="289"/>
      <c r="CB264" s="289"/>
      <c r="CC264" s="289"/>
      <c r="CD264" s="289"/>
      <c r="CE264" s="289"/>
      <c r="CF264" s="289"/>
      <c r="CG264" s="287"/>
      <c r="CH264" s="287"/>
      <c r="CI264" s="287"/>
      <c r="CJ264" s="287"/>
      <c r="CK264" s="287"/>
      <c r="CL264" s="287"/>
      <c r="CM264" s="292">
        <v>5</v>
      </c>
      <c r="CN264" s="287"/>
      <c r="CO264" s="287"/>
      <c r="CP264" s="287"/>
      <c r="CQ264" s="287">
        <v>5</v>
      </c>
      <c r="CR264" s="292">
        <v>5</v>
      </c>
      <c r="CS264" s="315">
        <v>5</v>
      </c>
      <c r="CT264" s="6"/>
      <c r="CU264" s="6"/>
      <c r="CV264" s="6"/>
      <c r="CW264" s="6"/>
      <c r="CX264" s="6"/>
      <c r="CY264" s="6"/>
      <c r="CZ264" s="6"/>
      <c r="DA264" s="343">
        <f t="shared" si="10"/>
        <v>4.3</v>
      </c>
    </row>
    <row r="265" spans="1:105" ht="20" customHeight="1" x14ac:dyDescent="0.35">
      <c r="A265" s="290" t="s">
        <v>2094</v>
      </c>
      <c r="B265" s="270" t="s">
        <v>864</v>
      </c>
      <c r="C265" s="270" t="s">
        <v>1621</v>
      </c>
      <c r="D265" s="297" t="s">
        <v>630</v>
      </c>
      <c r="E265" s="270" t="s">
        <v>34</v>
      </c>
      <c r="F265" s="270" t="s">
        <v>32</v>
      </c>
      <c r="G265" s="270" t="s">
        <v>39</v>
      </c>
      <c r="H265" s="298">
        <v>4.3</v>
      </c>
      <c r="I265" s="300"/>
      <c r="J265" s="292"/>
      <c r="K265" s="286"/>
      <c r="L265" s="286"/>
      <c r="M265" s="286"/>
      <c r="N265" s="286"/>
      <c r="O265" s="286"/>
      <c r="P265" s="292"/>
      <c r="Q265" s="286"/>
      <c r="R265" s="286"/>
      <c r="S265" s="286"/>
      <c r="T265" s="286"/>
      <c r="U265" s="286"/>
      <c r="V265" s="294"/>
      <c r="W265" s="286"/>
      <c r="X265" s="286"/>
      <c r="Y265" s="286"/>
      <c r="Z265" s="286"/>
      <c r="AA265" s="286"/>
      <c r="AB265" s="286"/>
      <c r="AC265" s="286"/>
      <c r="AD265" s="286"/>
      <c r="AE265" s="286"/>
      <c r="AF265" s="286"/>
      <c r="AG265" s="286"/>
      <c r="AH265" s="286"/>
      <c r="AI265" s="286"/>
      <c r="AJ265" s="286"/>
      <c r="AK265" s="295"/>
      <c r="AL265" s="288"/>
      <c r="AM265" s="287"/>
      <c r="AN265" s="287"/>
      <c r="AO265" s="286"/>
      <c r="AP265" s="286"/>
      <c r="AQ265" s="296"/>
      <c r="AR265" s="286"/>
      <c r="AS265" s="286"/>
      <c r="AT265" s="286"/>
      <c r="AU265" s="286"/>
      <c r="AV265" s="286"/>
      <c r="AW265" s="286"/>
      <c r="AX265" s="286"/>
      <c r="AY265" s="286"/>
      <c r="AZ265" s="286"/>
      <c r="BA265" s="286"/>
      <c r="BB265" s="286"/>
      <c r="BC265" s="286"/>
      <c r="BD265" s="287"/>
      <c r="BE265" s="287"/>
      <c r="BF265" s="287"/>
      <c r="BG265" s="288"/>
      <c r="BH265" s="286"/>
      <c r="BI265" s="287"/>
      <c r="BJ265" s="287"/>
      <c r="BK265" s="287"/>
      <c r="BL265" s="287"/>
      <c r="BM265" s="287"/>
      <c r="BN265" s="287"/>
      <c r="BO265" s="287"/>
      <c r="BP265" s="287"/>
      <c r="BQ265" s="287"/>
      <c r="BR265" s="287"/>
      <c r="BS265" s="287"/>
      <c r="BT265" s="287"/>
      <c r="BU265" s="287"/>
      <c r="BV265" s="287"/>
      <c r="BW265" s="287"/>
      <c r="BX265" s="286"/>
      <c r="BY265" s="289"/>
      <c r="BZ265" s="289"/>
      <c r="CA265" s="289"/>
      <c r="CB265" s="289"/>
      <c r="CC265" s="289"/>
      <c r="CD265" s="289"/>
      <c r="CE265" s="289"/>
      <c r="CF265" s="289"/>
      <c r="CG265" s="287"/>
      <c r="CH265" s="287"/>
      <c r="CI265" s="287"/>
      <c r="CJ265" s="287"/>
      <c r="CK265" s="287"/>
      <c r="CL265" s="287"/>
      <c r="CM265" s="292"/>
      <c r="CN265" s="287"/>
      <c r="CO265" s="287"/>
      <c r="CP265" s="287"/>
      <c r="CQ265" s="287">
        <v>5</v>
      </c>
      <c r="CR265" s="307"/>
      <c r="CS265" s="315">
        <v>5</v>
      </c>
      <c r="CT265" s="6"/>
      <c r="CU265" s="6"/>
      <c r="CV265" s="6"/>
      <c r="CW265" s="6"/>
      <c r="CX265" s="6"/>
      <c r="CY265" s="6"/>
      <c r="CZ265" s="6"/>
      <c r="DA265" s="343">
        <f>H265</f>
        <v>4.3</v>
      </c>
    </row>
    <row r="266" spans="1:105" ht="20" customHeight="1" x14ac:dyDescent="0.35">
      <c r="A266" s="278"/>
      <c r="B266" s="270" t="s">
        <v>865</v>
      </c>
      <c r="C266" s="270" t="s">
        <v>234</v>
      </c>
      <c r="D266" s="270" t="s">
        <v>630</v>
      </c>
      <c r="E266" s="270" t="s">
        <v>34</v>
      </c>
      <c r="F266" s="270" t="s">
        <v>611</v>
      </c>
      <c r="G266" s="270" t="s">
        <v>39</v>
      </c>
      <c r="H266" s="298">
        <f>3.8*2.5</f>
        <v>9.5</v>
      </c>
      <c r="I266" s="286"/>
      <c r="J266" s="286"/>
      <c r="K266" s="286"/>
      <c r="L266" s="286"/>
      <c r="M266" s="286"/>
      <c r="N266" s="286"/>
      <c r="O266" s="286"/>
      <c r="P266" s="286"/>
      <c r="Q266" s="286"/>
      <c r="R266" s="286"/>
      <c r="S266" s="286"/>
      <c r="T266" s="286"/>
      <c r="U266" s="286"/>
      <c r="V266" s="294"/>
      <c r="W266" s="286"/>
      <c r="X266" s="286"/>
      <c r="Y266" s="286"/>
      <c r="Z266" s="286"/>
      <c r="AA266" s="286"/>
      <c r="AB266" s="286"/>
      <c r="AC266" s="286"/>
      <c r="AD266" s="286"/>
      <c r="AE266" s="286"/>
      <c r="AF266" s="286"/>
      <c r="AG266" s="286"/>
      <c r="AH266" s="286"/>
      <c r="AI266" s="286"/>
      <c r="AJ266" s="286"/>
      <c r="AK266" s="287"/>
      <c r="AL266" s="288"/>
      <c r="AM266" s="287"/>
      <c r="AN266" s="287"/>
      <c r="AO266" s="286"/>
      <c r="AP266" s="286"/>
      <c r="AQ266" s="296">
        <v>12.5</v>
      </c>
      <c r="AR266" s="286"/>
      <c r="AS266" s="286"/>
      <c r="AT266" s="286"/>
      <c r="AU266" s="286"/>
      <c r="AV266" s="286"/>
      <c r="AW266" s="286"/>
      <c r="AX266" s="286"/>
      <c r="AY266" s="286"/>
      <c r="AZ266" s="286"/>
      <c r="BA266" s="286"/>
      <c r="BB266" s="286"/>
      <c r="BC266" s="286"/>
      <c r="BD266" s="287"/>
      <c r="BE266" s="287"/>
      <c r="BF266" s="287"/>
      <c r="BG266" s="287"/>
      <c r="BH266" s="287"/>
      <c r="BI266" s="287"/>
      <c r="BJ266" s="287"/>
      <c r="BK266" s="287"/>
      <c r="BL266" s="287"/>
      <c r="BM266" s="287"/>
      <c r="BN266" s="287"/>
      <c r="BO266" s="287"/>
      <c r="BP266" s="287"/>
      <c r="BQ266" s="287"/>
      <c r="BR266" s="287"/>
      <c r="BS266" s="287"/>
      <c r="BT266" s="287"/>
      <c r="BU266" s="287"/>
      <c r="BV266" s="287"/>
      <c r="BW266" s="287"/>
      <c r="BX266" s="286"/>
      <c r="BY266" s="289"/>
      <c r="BZ266" s="289">
        <v>12</v>
      </c>
      <c r="CA266" s="289"/>
      <c r="CB266" s="289"/>
      <c r="CC266" s="289"/>
      <c r="CD266" s="289"/>
      <c r="CE266" s="289"/>
      <c r="CF266" s="289"/>
      <c r="CG266" s="287"/>
      <c r="CH266" s="287"/>
      <c r="CI266" s="287"/>
      <c r="CJ266" s="287"/>
      <c r="CK266" s="287"/>
      <c r="CL266" s="287"/>
      <c r="CM266" s="287"/>
      <c r="CN266" s="287"/>
      <c r="CO266" s="287"/>
      <c r="CP266" s="287"/>
      <c r="CQ266" s="287"/>
      <c r="CR266" s="287"/>
      <c r="CS266" s="6"/>
      <c r="CT266" s="6"/>
      <c r="CU266" s="6"/>
      <c r="CV266" s="6"/>
      <c r="CW266" s="6"/>
      <c r="CX266" s="6"/>
      <c r="CY266" s="6"/>
      <c r="CZ266" s="6"/>
      <c r="DA266" s="343">
        <f t="shared" si="10"/>
        <v>9.5</v>
      </c>
    </row>
    <row r="267" spans="1:105" ht="20" customHeight="1" x14ac:dyDescent="0.35">
      <c r="A267" s="314"/>
      <c r="B267" s="270" t="s">
        <v>1216</v>
      </c>
      <c r="C267" s="270" t="s">
        <v>234</v>
      </c>
      <c r="D267" s="270"/>
      <c r="E267" s="270" t="s">
        <v>34</v>
      </c>
      <c r="F267" s="270" t="s">
        <v>1342</v>
      </c>
      <c r="G267" s="270" t="s">
        <v>39</v>
      </c>
      <c r="H267" s="298"/>
      <c r="I267" s="286"/>
      <c r="J267" s="286"/>
      <c r="K267" s="286"/>
      <c r="L267" s="286"/>
      <c r="M267" s="286"/>
      <c r="N267" s="286"/>
      <c r="O267" s="286"/>
      <c r="P267" s="286"/>
      <c r="Q267" s="286"/>
      <c r="R267" s="286"/>
      <c r="S267" s="286"/>
      <c r="T267" s="286"/>
      <c r="U267" s="286"/>
      <c r="V267" s="294"/>
      <c r="W267" s="286"/>
      <c r="X267" s="286"/>
      <c r="Y267" s="286"/>
      <c r="Z267" s="286"/>
      <c r="AA267" s="286"/>
      <c r="AB267" s="286"/>
      <c r="AC267" s="286"/>
      <c r="AD267" s="286"/>
      <c r="AE267" s="286"/>
      <c r="AF267" s="286"/>
      <c r="AG267" s="286"/>
      <c r="AH267" s="286"/>
      <c r="AI267" s="286"/>
      <c r="AJ267" s="286"/>
      <c r="AK267" s="287"/>
      <c r="AL267" s="288"/>
      <c r="AM267" s="287"/>
      <c r="AN267" s="287"/>
      <c r="AO267" s="286"/>
      <c r="AP267" s="286"/>
      <c r="AQ267" s="296"/>
      <c r="AR267" s="286"/>
      <c r="AS267" s="286"/>
      <c r="AT267" s="286"/>
      <c r="AU267" s="286"/>
      <c r="AV267" s="286"/>
      <c r="AW267" s="286"/>
      <c r="AX267" s="286"/>
      <c r="AY267" s="286"/>
      <c r="AZ267" s="286"/>
      <c r="BA267" s="286"/>
      <c r="BB267" s="286"/>
      <c r="BC267" s="286"/>
      <c r="BD267" s="287"/>
      <c r="BE267" s="287"/>
      <c r="BF267" s="287"/>
      <c r="BG267" s="287"/>
      <c r="BH267" s="287"/>
      <c r="BI267" s="287"/>
      <c r="BJ267" s="287"/>
      <c r="BK267" s="287"/>
      <c r="BL267" s="287"/>
      <c r="BM267" s="287"/>
      <c r="BN267" s="287"/>
      <c r="BO267" s="287"/>
      <c r="BP267" s="287"/>
      <c r="BQ267" s="287"/>
      <c r="BR267" s="287"/>
      <c r="BS267" s="287"/>
      <c r="BT267" s="287"/>
      <c r="BU267" s="287"/>
      <c r="BV267" s="287"/>
      <c r="BW267" s="287"/>
      <c r="BX267" s="286"/>
      <c r="BY267" s="289"/>
      <c r="BZ267" s="289"/>
      <c r="CA267" s="289"/>
      <c r="CB267" s="289"/>
      <c r="CC267" s="289"/>
      <c r="CD267" s="289"/>
      <c r="CE267" s="289"/>
      <c r="CF267" s="289"/>
      <c r="CG267" s="287"/>
      <c r="CH267" s="287"/>
      <c r="CI267" s="287"/>
      <c r="CJ267" s="287"/>
      <c r="CK267" s="287"/>
      <c r="CL267" s="287"/>
      <c r="CM267" s="287"/>
      <c r="CN267" s="287"/>
      <c r="CO267" s="287"/>
      <c r="CP267" s="287"/>
      <c r="CQ267" s="287"/>
      <c r="CR267" s="287"/>
      <c r="CS267" s="6"/>
      <c r="CT267" s="6"/>
      <c r="CU267" s="6"/>
      <c r="CV267" s="6"/>
      <c r="CW267" s="6"/>
      <c r="CX267" s="6"/>
      <c r="CY267" s="6"/>
      <c r="CZ267" s="6"/>
      <c r="DA267" s="343">
        <f t="shared" si="10"/>
        <v>0</v>
      </c>
    </row>
    <row r="268" spans="1:105" ht="20" customHeight="1" x14ac:dyDescent="0.35">
      <c r="A268" s="290" t="s">
        <v>90</v>
      </c>
      <c r="B268" s="270" t="s">
        <v>866</v>
      </c>
      <c r="C268" s="270" t="s">
        <v>235</v>
      </c>
      <c r="D268" s="297" t="s">
        <v>630</v>
      </c>
      <c r="E268" s="270" t="s">
        <v>50</v>
      </c>
      <c r="F268" s="270" t="s">
        <v>1455</v>
      </c>
      <c r="G268" s="270" t="s">
        <v>677</v>
      </c>
      <c r="H268" s="351">
        <v>5.6</v>
      </c>
      <c r="I268" s="300">
        <v>9</v>
      </c>
      <c r="J268" s="292">
        <v>6.5</v>
      </c>
      <c r="K268" s="286"/>
      <c r="L268" s="286"/>
      <c r="M268" s="286"/>
      <c r="N268" s="286"/>
      <c r="O268" s="286"/>
      <c r="P268" s="286"/>
      <c r="Q268" s="286"/>
      <c r="R268" s="286"/>
      <c r="S268" s="286">
        <v>10</v>
      </c>
      <c r="T268" s="286">
        <v>6.5</v>
      </c>
      <c r="U268" s="286"/>
      <c r="V268" s="294"/>
      <c r="W268" s="286"/>
      <c r="X268" s="286"/>
      <c r="Y268" s="286"/>
      <c r="Z268" s="286"/>
      <c r="AA268" s="286"/>
      <c r="AB268" s="286"/>
      <c r="AC268" s="286"/>
      <c r="AD268" s="286"/>
      <c r="AE268" s="286"/>
      <c r="AF268" s="286"/>
      <c r="AG268" s="286"/>
      <c r="AH268" s="286"/>
      <c r="AI268" s="286"/>
      <c r="AJ268" s="286"/>
      <c r="AK268" s="295">
        <v>9.5</v>
      </c>
      <c r="AL268" s="288"/>
      <c r="AM268" s="287"/>
      <c r="AN268" s="287"/>
      <c r="AO268" s="287"/>
      <c r="AP268" s="286">
        <v>6.5</v>
      </c>
      <c r="AQ268" s="296">
        <v>8</v>
      </c>
      <c r="AR268" s="286">
        <v>6.5</v>
      </c>
      <c r="AS268" s="286"/>
      <c r="AT268" s="286">
        <v>6.5</v>
      </c>
      <c r="AU268" s="286">
        <v>6.5</v>
      </c>
      <c r="AV268" s="286">
        <v>6.5</v>
      </c>
      <c r="AW268" s="286">
        <v>6.5</v>
      </c>
      <c r="AX268" s="286">
        <v>6.5</v>
      </c>
      <c r="AY268" s="286">
        <v>6.5</v>
      </c>
      <c r="AZ268" s="286">
        <v>6.5</v>
      </c>
      <c r="BA268" s="286">
        <v>6.5</v>
      </c>
      <c r="BB268" s="286">
        <f>BA268</f>
        <v>6.5</v>
      </c>
      <c r="BC268" s="286">
        <v>6.5</v>
      </c>
      <c r="BD268" s="287"/>
      <c r="BE268" s="287"/>
      <c r="BF268" s="287"/>
      <c r="BG268" s="288">
        <v>7.5</v>
      </c>
      <c r="BH268" s="287"/>
      <c r="BI268" s="287"/>
      <c r="BJ268" s="287"/>
      <c r="BK268" s="287"/>
      <c r="BL268" s="287"/>
      <c r="BM268" s="287"/>
      <c r="BN268" s="287"/>
      <c r="BO268" s="287"/>
      <c r="BP268" s="287"/>
      <c r="BQ268" s="287"/>
      <c r="BR268" s="287"/>
      <c r="BS268" s="287"/>
      <c r="BT268" s="287"/>
      <c r="BU268" s="287"/>
      <c r="BV268" s="287"/>
      <c r="BW268" s="287"/>
      <c r="BX268" s="286"/>
      <c r="BY268" s="289"/>
      <c r="BZ268" s="289"/>
      <c r="CA268" s="289"/>
      <c r="CB268" s="289"/>
      <c r="CC268" s="289"/>
      <c r="CD268" s="289"/>
      <c r="CE268" s="289"/>
      <c r="CF268" s="289"/>
      <c r="CG268" s="287"/>
      <c r="CH268" s="287"/>
      <c r="CI268" s="287"/>
      <c r="CJ268" s="287"/>
      <c r="CK268" s="287"/>
      <c r="CL268" s="287"/>
      <c r="CM268" s="287"/>
      <c r="CN268" s="287"/>
      <c r="CO268" s="287"/>
      <c r="CP268" s="287"/>
      <c r="CQ268" s="287">
        <v>8</v>
      </c>
      <c r="CR268" s="307">
        <v>9</v>
      </c>
      <c r="CS268" s="308">
        <v>8</v>
      </c>
      <c r="CT268" s="6"/>
      <c r="CU268" s="6"/>
      <c r="CV268" s="6"/>
      <c r="CW268" s="6"/>
      <c r="CX268" s="6"/>
      <c r="CY268" s="6"/>
      <c r="CZ268" s="6"/>
      <c r="DA268" s="343">
        <f t="shared" si="10"/>
        <v>5.6</v>
      </c>
    </row>
    <row r="269" spans="1:105" ht="20" customHeight="1" x14ac:dyDescent="0.35">
      <c r="A269" s="309"/>
      <c r="B269" s="270" t="s">
        <v>867</v>
      </c>
      <c r="C269" s="270" t="s">
        <v>1617</v>
      </c>
      <c r="D269" s="270"/>
      <c r="E269" s="270" t="s">
        <v>34</v>
      </c>
      <c r="F269" s="270" t="s">
        <v>2290</v>
      </c>
      <c r="G269" s="270" t="s">
        <v>38</v>
      </c>
      <c r="H269" s="298">
        <f>2.9*5</f>
        <v>14.5</v>
      </c>
      <c r="I269" s="286"/>
      <c r="J269" s="286"/>
      <c r="K269" s="286"/>
      <c r="L269" s="286">
        <v>19</v>
      </c>
      <c r="M269" s="400"/>
      <c r="N269" s="286"/>
      <c r="O269" s="286">
        <v>20</v>
      </c>
      <c r="P269" s="286"/>
      <c r="Q269" s="286"/>
      <c r="R269" s="286"/>
      <c r="S269" s="286"/>
      <c r="T269" s="286"/>
      <c r="U269" s="286"/>
      <c r="V269" s="286"/>
      <c r="W269" s="286"/>
      <c r="X269" s="286"/>
      <c r="Y269" s="286"/>
      <c r="Z269" s="286"/>
      <c r="AA269" s="286"/>
      <c r="AB269" s="286"/>
      <c r="AC269" s="286">
        <v>19</v>
      </c>
      <c r="AD269" s="286"/>
      <c r="AE269" s="286"/>
      <c r="AF269" s="286"/>
      <c r="AG269" s="286"/>
      <c r="AH269" s="286"/>
      <c r="AI269" s="286"/>
      <c r="AJ269" s="286"/>
      <c r="AK269" s="287"/>
      <c r="AL269" s="288"/>
      <c r="AM269" s="287"/>
      <c r="AN269" s="287"/>
      <c r="AO269" s="287"/>
      <c r="AP269" s="286"/>
      <c r="AQ269" s="296"/>
      <c r="AR269" s="286"/>
      <c r="AS269" s="286"/>
      <c r="AT269" s="286"/>
      <c r="AU269" s="286"/>
      <c r="AV269" s="286"/>
      <c r="AW269" s="286"/>
      <c r="AX269" s="286"/>
      <c r="AY269" s="286"/>
      <c r="AZ269" s="286"/>
      <c r="BA269" s="286"/>
      <c r="BB269" s="286"/>
      <c r="BC269" s="286"/>
      <c r="BD269" s="287"/>
      <c r="BE269" s="287"/>
      <c r="BF269" s="287"/>
      <c r="BG269" s="288">
        <v>19</v>
      </c>
      <c r="BH269" s="287"/>
      <c r="BI269" s="287"/>
      <c r="BJ269" s="287"/>
      <c r="BK269" s="287"/>
      <c r="BL269" s="287"/>
      <c r="BM269" s="287"/>
      <c r="BN269" s="287"/>
      <c r="BO269" s="287"/>
      <c r="BP269" s="287"/>
      <c r="BQ269" s="287"/>
      <c r="BR269" s="287"/>
      <c r="BS269" s="287"/>
      <c r="BT269" s="287"/>
      <c r="BU269" s="287"/>
      <c r="BV269" s="287"/>
      <c r="BW269" s="287"/>
      <c r="BX269" s="286"/>
      <c r="BY269" s="289"/>
      <c r="BZ269" s="289"/>
      <c r="CA269" s="289"/>
      <c r="CB269" s="289"/>
      <c r="CC269" s="289"/>
      <c r="CD269" s="289"/>
      <c r="CE269" s="289"/>
      <c r="CF269" s="289"/>
      <c r="CG269" s="287"/>
      <c r="CH269" s="287"/>
      <c r="CI269" s="287"/>
      <c r="CJ269" s="287"/>
      <c r="CK269" s="287"/>
      <c r="CL269" s="287">
        <v>20</v>
      </c>
      <c r="CM269" s="287"/>
      <c r="CN269" s="287"/>
      <c r="CO269" s="287"/>
      <c r="CP269" s="287"/>
      <c r="CQ269" s="287"/>
      <c r="CR269" s="287">
        <v>20</v>
      </c>
      <c r="CS269" s="6"/>
      <c r="CT269" s="6"/>
      <c r="CU269" s="6"/>
      <c r="CV269" s="6"/>
      <c r="CW269" s="6"/>
      <c r="CX269" s="6"/>
      <c r="CY269" s="6"/>
      <c r="CZ269" s="6"/>
      <c r="DA269" s="343">
        <f t="shared" si="10"/>
        <v>14.5</v>
      </c>
    </row>
    <row r="270" spans="1:105" ht="20" customHeight="1" x14ac:dyDescent="0.35">
      <c r="A270" s="301"/>
      <c r="B270" s="270" t="s">
        <v>1046</v>
      </c>
      <c r="C270" s="270" t="s">
        <v>1617</v>
      </c>
      <c r="D270" s="270"/>
      <c r="E270" s="270" t="s">
        <v>34</v>
      </c>
      <c r="F270" s="270" t="s">
        <v>2295</v>
      </c>
      <c r="G270" s="270" t="s">
        <v>38</v>
      </c>
      <c r="H270" s="298">
        <f>2.9*2</f>
        <v>5.8</v>
      </c>
      <c r="I270" s="286"/>
      <c r="J270" s="286"/>
      <c r="K270" s="286"/>
      <c r="L270" s="286"/>
      <c r="M270" s="286"/>
      <c r="N270" s="286"/>
      <c r="O270" s="286"/>
      <c r="P270" s="286"/>
      <c r="Q270" s="286"/>
      <c r="R270" s="286"/>
      <c r="S270" s="286"/>
      <c r="T270" s="286"/>
      <c r="U270" s="286"/>
      <c r="V270" s="286"/>
      <c r="W270" s="286"/>
      <c r="X270" s="286"/>
      <c r="Y270" s="286"/>
      <c r="Z270" s="286"/>
      <c r="AA270" s="286"/>
      <c r="AB270" s="286"/>
      <c r="AC270" s="286"/>
      <c r="AD270" s="286"/>
      <c r="AE270" s="286"/>
      <c r="AF270" s="286"/>
      <c r="AG270" s="286"/>
      <c r="AH270" s="286"/>
      <c r="AI270" s="286"/>
      <c r="AJ270" s="286"/>
      <c r="AK270" s="287"/>
      <c r="AL270" s="288"/>
      <c r="AM270" s="287"/>
      <c r="AN270" s="287"/>
      <c r="AO270" s="287"/>
      <c r="AP270" s="286"/>
      <c r="AQ270" s="296"/>
      <c r="AR270" s="286"/>
      <c r="AS270" s="286"/>
      <c r="AT270" s="286"/>
      <c r="AU270" s="286"/>
      <c r="AV270" s="286"/>
      <c r="AW270" s="286"/>
      <c r="AX270" s="286"/>
      <c r="AY270" s="286"/>
      <c r="AZ270" s="286"/>
      <c r="BA270" s="286"/>
      <c r="BB270" s="286"/>
      <c r="BC270" s="286"/>
      <c r="BD270" s="287"/>
      <c r="BE270" s="287"/>
      <c r="BF270" s="287"/>
      <c r="BG270" s="287"/>
      <c r="BH270" s="287"/>
      <c r="BI270" s="287"/>
      <c r="BJ270" s="287"/>
      <c r="BK270" s="287"/>
      <c r="BL270" s="287"/>
      <c r="BM270" s="287"/>
      <c r="BN270" s="287"/>
      <c r="BO270" s="287"/>
      <c r="BP270" s="287"/>
      <c r="BQ270" s="287"/>
      <c r="BR270" s="287"/>
      <c r="BS270" s="287"/>
      <c r="BT270" s="287"/>
      <c r="BU270" s="287"/>
      <c r="BV270" s="287"/>
      <c r="BW270" s="287"/>
      <c r="BX270" s="286"/>
      <c r="BY270" s="289"/>
      <c r="BZ270" s="289"/>
      <c r="CA270" s="289"/>
      <c r="CB270" s="289"/>
      <c r="CC270" s="289"/>
      <c r="CD270" s="289"/>
      <c r="CE270" s="289"/>
      <c r="CF270" s="289"/>
      <c r="CG270" s="287"/>
      <c r="CH270" s="287"/>
      <c r="CI270" s="287"/>
      <c r="CJ270" s="287"/>
      <c r="CK270" s="287"/>
      <c r="CL270" s="287"/>
      <c r="CM270" s="287"/>
      <c r="CN270" s="287"/>
      <c r="CO270" s="287"/>
      <c r="CP270" s="287"/>
      <c r="CQ270" s="287"/>
      <c r="CR270" s="287"/>
      <c r="CS270" s="6"/>
      <c r="CT270" s="6"/>
      <c r="CU270" s="6"/>
      <c r="CV270" s="6"/>
      <c r="CW270" s="6"/>
      <c r="CX270" s="6"/>
      <c r="CY270" s="6"/>
      <c r="CZ270" s="6"/>
      <c r="DA270" s="343">
        <f t="shared" si="10"/>
        <v>5.8</v>
      </c>
    </row>
    <row r="271" spans="1:105" ht="20" customHeight="1" x14ac:dyDescent="0.35">
      <c r="A271" s="301"/>
      <c r="B271" s="270" t="s">
        <v>2288</v>
      </c>
      <c r="C271" s="270" t="s">
        <v>1617</v>
      </c>
      <c r="D271" s="270"/>
      <c r="E271" s="270" t="s">
        <v>34</v>
      </c>
      <c r="F271" s="270" t="s">
        <v>2289</v>
      </c>
      <c r="G271" s="270" t="s">
        <v>38</v>
      </c>
      <c r="H271" s="298">
        <f>2.9*2</f>
        <v>5.8</v>
      </c>
      <c r="I271" s="286"/>
      <c r="J271" s="286"/>
      <c r="K271" s="286"/>
      <c r="L271" s="286"/>
      <c r="M271" s="286"/>
      <c r="N271" s="286"/>
      <c r="O271" s="286"/>
      <c r="P271" s="286"/>
      <c r="Q271" s="286"/>
      <c r="R271" s="286"/>
      <c r="S271" s="286"/>
      <c r="T271" s="286"/>
      <c r="U271" s="286"/>
      <c r="V271" s="286"/>
      <c r="W271" s="286"/>
      <c r="X271" s="286"/>
      <c r="Y271" s="286"/>
      <c r="Z271" s="286"/>
      <c r="AA271" s="286"/>
      <c r="AB271" s="286"/>
      <c r="AC271" s="286">
        <v>12</v>
      </c>
      <c r="AD271" s="286"/>
      <c r="AE271" s="286"/>
      <c r="AF271" s="286"/>
      <c r="AG271" s="286"/>
      <c r="AH271" s="286"/>
      <c r="AI271" s="286"/>
      <c r="AJ271" s="286"/>
      <c r="AK271" s="287"/>
      <c r="AL271" s="288"/>
      <c r="AM271" s="287"/>
      <c r="AN271" s="287"/>
      <c r="AO271" s="287"/>
      <c r="AP271" s="286"/>
      <c r="AQ271" s="296"/>
      <c r="AR271" s="286"/>
      <c r="AS271" s="286"/>
      <c r="AT271" s="286"/>
      <c r="AU271" s="286"/>
      <c r="AV271" s="286"/>
      <c r="AW271" s="286"/>
      <c r="AX271" s="286"/>
      <c r="AY271" s="286"/>
      <c r="AZ271" s="286"/>
      <c r="BA271" s="286"/>
      <c r="BB271" s="286"/>
      <c r="BC271" s="286"/>
      <c r="BD271" s="287"/>
      <c r="BE271" s="287"/>
      <c r="BF271" s="287"/>
      <c r="BG271" s="287"/>
      <c r="BH271" s="287"/>
      <c r="BI271" s="287"/>
      <c r="BJ271" s="287"/>
      <c r="BK271" s="287"/>
      <c r="BL271" s="287"/>
      <c r="BM271" s="287"/>
      <c r="BN271" s="287"/>
      <c r="BO271" s="287"/>
      <c r="BP271" s="287"/>
      <c r="BQ271" s="287"/>
      <c r="BR271" s="287"/>
      <c r="BS271" s="287"/>
      <c r="BT271" s="287"/>
      <c r="BU271" s="287"/>
      <c r="BV271" s="287"/>
      <c r="BW271" s="287"/>
      <c r="BX271" s="286"/>
      <c r="BY271" s="289"/>
      <c r="BZ271" s="289"/>
      <c r="CA271" s="289"/>
      <c r="CB271" s="289"/>
      <c r="CC271" s="289"/>
      <c r="CD271" s="289"/>
      <c r="CE271" s="289"/>
      <c r="CF271" s="289"/>
      <c r="CG271" s="287"/>
      <c r="CH271" s="287"/>
      <c r="CI271" s="287"/>
      <c r="CJ271" s="287"/>
      <c r="CK271" s="287"/>
      <c r="CL271" s="287"/>
      <c r="CM271" s="287"/>
      <c r="CN271" s="287"/>
      <c r="CO271" s="287"/>
      <c r="CP271" s="287"/>
      <c r="CQ271" s="287"/>
      <c r="CR271" s="287"/>
      <c r="CS271" s="6"/>
      <c r="CT271" s="6"/>
      <c r="CU271" s="6"/>
      <c r="CV271" s="6"/>
      <c r="CW271" s="6"/>
      <c r="CX271" s="6"/>
      <c r="CY271" s="6"/>
      <c r="CZ271" s="6"/>
      <c r="DA271" s="343">
        <f t="shared" ref="DA271" si="12">H271</f>
        <v>5.8</v>
      </c>
    </row>
    <row r="272" spans="1:105" ht="20" customHeight="1" x14ac:dyDescent="0.35">
      <c r="A272" s="301"/>
      <c r="B272" s="270" t="s">
        <v>868</v>
      </c>
      <c r="C272" s="270" t="s">
        <v>869</v>
      </c>
      <c r="D272" s="270" t="s">
        <v>630</v>
      </c>
      <c r="E272" s="270" t="s">
        <v>34</v>
      </c>
      <c r="F272" s="270" t="s">
        <v>1788</v>
      </c>
      <c r="G272" s="270" t="s">
        <v>522</v>
      </c>
      <c r="H272" s="298">
        <v>16</v>
      </c>
      <c r="I272" s="286"/>
      <c r="J272" s="292">
        <v>20</v>
      </c>
      <c r="K272" s="286"/>
      <c r="L272" s="286"/>
      <c r="M272" s="286"/>
      <c r="N272" s="286"/>
      <c r="O272" s="286"/>
      <c r="P272" s="286"/>
      <c r="Q272" s="286"/>
      <c r="R272" s="286"/>
      <c r="S272" s="286"/>
      <c r="T272" s="292">
        <v>20</v>
      </c>
      <c r="U272" s="286"/>
      <c r="V272" s="286"/>
      <c r="W272" s="286"/>
      <c r="X272" s="286"/>
      <c r="Y272" s="286"/>
      <c r="Z272" s="286"/>
      <c r="AA272" s="286"/>
      <c r="AB272" s="286"/>
      <c r="AC272" s="286"/>
      <c r="AD272" s="286"/>
      <c r="AE272" s="286"/>
      <c r="AF272" s="286"/>
      <c r="AG272" s="286"/>
      <c r="AH272" s="286"/>
      <c r="AI272" s="286"/>
      <c r="AJ272" s="286"/>
      <c r="AK272" s="287"/>
      <c r="AL272" s="288"/>
      <c r="AM272" s="287"/>
      <c r="AN272" s="287"/>
      <c r="AO272" s="287"/>
      <c r="AP272" s="286"/>
      <c r="AQ272" s="296"/>
      <c r="AR272" s="286"/>
      <c r="AS272" s="286"/>
      <c r="AT272" s="286"/>
      <c r="AU272" s="286"/>
      <c r="AV272" s="286"/>
      <c r="AW272" s="286"/>
      <c r="AX272" s="286"/>
      <c r="AY272" s="286"/>
      <c r="AZ272" s="286">
        <v>20</v>
      </c>
      <c r="BA272" s="286"/>
      <c r="BB272" s="286"/>
      <c r="BC272" s="286">
        <v>20</v>
      </c>
      <c r="BD272" s="287"/>
      <c r="BE272" s="287"/>
      <c r="BF272" s="287"/>
      <c r="BG272" s="287"/>
      <c r="BH272" s="287"/>
      <c r="BI272" s="287"/>
      <c r="BJ272" s="287"/>
      <c r="BK272" s="287"/>
      <c r="BL272" s="287"/>
      <c r="BM272" s="287"/>
      <c r="BN272" s="287"/>
      <c r="BO272" s="287"/>
      <c r="BP272" s="287"/>
      <c r="BQ272" s="287"/>
      <c r="BR272" s="287"/>
      <c r="BS272" s="287"/>
      <c r="BT272" s="287"/>
      <c r="BU272" s="287"/>
      <c r="BV272" s="287"/>
      <c r="BW272" s="287"/>
      <c r="BX272" s="286"/>
      <c r="BY272" s="289"/>
      <c r="BZ272" s="289"/>
      <c r="CA272" s="289"/>
      <c r="CB272" s="289"/>
      <c r="CC272" s="289"/>
      <c r="CD272" s="289"/>
      <c r="CE272" s="289"/>
      <c r="CF272" s="289"/>
      <c r="CG272" s="287"/>
      <c r="CH272" s="287"/>
      <c r="CI272" s="287"/>
      <c r="CJ272" s="287"/>
      <c r="CK272" s="287"/>
      <c r="CL272" s="287"/>
      <c r="CM272" s="287"/>
      <c r="CN272" s="287"/>
      <c r="CO272" s="287"/>
      <c r="CP272" s="287"/>
      <c r="CQ272" s="287">
        <v>26</v>
      </c>
      <c r="CR272" s="292">
        <v>20</v>
      </c>
      <c r="CS272" s="6"/>
      <c r="CT272" s="6"/>
      <c r="CU272" s="6"/>
      <c r="CV272" s="6"/>
      <c r="CW272" s="6"/>
      <c r="CX272" s="6"/>
      <c r="CY272" s="6"/>
      <c r="CZ272" s="6"/>
      <c r="DA272" s="343">
        <f t="shared" si="10"/>
        <v>16</v>
      </c>
    </row>
    <row r="273" spans="1:105" ht="20" customHeight="1" x14ac:dyDescent="0.35">
      <c r="A273" s="301"/>
      <c r="B273" s="270" t="s">
        <v>1964</v>
      </c>
      <c r="C273" s="270" t="s">
        <v>869</v>
      </c>
      <c r="D273" s="270" t="s">
        <v>630</v>
      </c>
      <c r="E273" s="270" t="s">
        <v>34</v>
      </c>
      <c r="F273" s="270" t="s">
        <v>62</v>
      </c>
      <c r="G273" s="270" t="s">
        <v>522</v>
      </c>
      <c r="H273" s="298">
        <v>16</v>
      </c>
      <c r="I273" s="286"/>
      <c r="J273" s="292"/>
      <c r="K273" s="286"/>
      <c r="L273" s="286"/>
      <c r="M273" s="286"/>
      <c r="N273" s="286"/>
      <c r="O273" s="286"/>
      <c r="P273" s="286"/>
      <c r="Q273" s="286">
        <v>26</v>
      </c>
      <c r="R273" s="286"/>
      <c r="S273" s="286"/>
      <c r="T273" s="286"/>
      <c r="U273" s="286"/>
      <c r="V273" s="286"/>
      <c r="W273" s="286"/>
      <c r="X273" s="286"/>
      <c r="Y273" s="286"/>
      <c r="Z273" s="286"/>
      <c r="AA273" s="286"/>
      <c r="AB273" s="286"/>
      <c r="AC273" s="286"/>
      <c r="AD273" s="286"/>
      <c r="AE273" s="286"/>
      <c r="AF273" s="286"/>
      <c r="AG273" s="286"/>
      <c r="AH273" s="286"/>
      <c r="AI273" s="286"/>
      <c r="AJ273" s="286"/>
      <c r="AK273" s="287"/>
      <c r="AL273" s="288"/>
      <c r="AM273" s="287"/>
      <c r="AN273" s="287"/>
      <c r="AO273" s="287"/>
      <c r="AP273" s="286"/>
      <c r="AQ273" s="296">
        <v>22</v>
      </c>
      <c r="AR273" s="286"/>
      <c r="AS273" s="286"/>
      <c r="AT273" s="286"/>
      <c r="AU273" s="286"/>
      <c r="AV273" s="286"/>
      <c r="AW273" s="286"/>
      <c r="AX273" s="286"/>
      <c r="AY273" s="286"/>
      <c r="AZ273" s="286"/>
      <c r="BA273" s="286"/>
      <c r="BB273" s="286"/>
      <c r="BC273" s="286"/>
      <c r="BD273" s="287"/>
      <c r="BE273" s="287"/>
      <c r="BF273" s="287"/>
      <c r="BG273" s="287"/>
      <c r="BH273" s="287"/>
      <c r="BI273" s="287"/>
      <c r="BJ273" s="287"/>
      <c r="BK273" s="287"/>
      <c r="BL273" s="287"/>
      <c r="BM273" s="287"/>
      <c r="BN273" s="287"/>
      <c r="BO273" s="287"/>
      <c r="BP273" s="287"/>
      <c r="BQ273" s="287"/>
      <c r="BR273" s="287"/>
      <c r="BS273" s="287"/>
      <c r="BT273" s="287"/>
      <c r="BU273" s="287"/>
      <c r="BV273" s="287"/>
      <c r="BW273" s="287"/>
      <c r="BX273" s="286"/>
      <c r="BY273" s="289"/>
      <c r="BZ273" s="289"/>
      <c r="CA273" s="289"/>
      <c r="CB273" s="289"/>
      <c r="CC273" s="289"/>
      <c r="CD273" s="289"/>
      <c r="CE273" s="289"/>
      <c r="CF273" s="289"/>
      <c r="CG273" s="287"/>
      <c r="CH273" s="287"/>
      <c r="CI273" s="287"/>
      <c r="CJ273" s="287"/>
      <c r="CK273" s="287"/>
      <c r="CL273" s="287"/>
      <c r="CM273" s="287"/>
      <c r="CN273" s="287"/>
      <c r="CO273" s="287"/>
      <c r="CP273" s="287"/>
      <c r="CQ273" s="287"/>
      <c r="CR273" s="287"/>
      <c r="CS273" s="6"/>
      <c r="CT273" s="6"/>
      <c r="CU273" s="6"/>
      <c r="CV273" s="6"/>
      <c r="CW273" s="6"/>
      <c r="CX273" s="6"/>
      <c r="CY273" s="6"/>
      <c r="CZ273" s="6"/>
      <c r="DA273" s="343">
        <f>H273</f>
        <v>16</v>
      </c>
    </row>
    <row r="274" spans="1:105" ht="20" customHeight="1" x14ac:dyDescent="0.35">
      <c r="A274" s="290">
        <v>520734</v>
      </c>
      <c r="B274" s="270" t="s">
        <v>870</v>
      </c>
      <c r="C274" s="270" t="s">
        <v>1714</v>
      </c>
      <c r="D274" s="297" t="s">
        <v>630</v>
      </c>
      <c r="E274" s="270" t="s">
        <v>34</v>
      </c>
      <c r="F274" s="270" t="s">
        <v>32</v>
      </c>
      <c r="G274" s="270" t="s">
        <v>39</v>
      </c>
      <c r="H274" s="298">
        <v>19.5</v>
      </c>
      <c r="I274" s="292">
        <v>45</v>
      </c>
      <c r="J274" s="286"/>
      <c r="K274" s="286"/>
      <c r="L274" s="286"/>
      <c r="M274" s="286"/>
      <c r="N274" s="286"/>
      <c r="O274" s="286">
        <v>50</v>
      </c>
      <c r="P274" s="286"/>
      <c r="Q274" s="286"/>
      <c r="R274" s="286">
        <v>46</v>
      </c>
      <c r="S274" s="286"/>
      <c r="T274" s="286"/>
      <c r="U274" s="286"/>
      <c r="V274" s="294"/>
      <c r="W274" s="286"/>
      <c r="X274" s="286"/>
      <c r="Y274" s="286"/>
      <c r="Z274" s="286"/>
      <c r="AA274" s="286"/>
      <c r="AB274" s="286"/>
      <c r="AC274" s="286">
        <v>46</v>
      </c>
      <c r="AD274" s="286"/>
      <c r="AE274" s="286"/>
      <c r="AF274" s="286"/>
      <c r="AG274" s="286"/>
      <c r="AH274" s="286"/>
      <c r="AI274" s="286"/>
      <c r="AJ274" s="286"/>
      <c r="AK274" s="295">
        <v>50</v>
      </c>
      <c r="AL274" s="288"/>
      <c r="AM274" s="287"/>
      <c r="AN274" s="287"/>
      <c r="AO274" s="287"/>
      <c r="AP274" s="286"/>
      <c r="AQ274" s="296"/>
      <c r="AR274" s="286"/>
      <c r="AS274" s="286"/>
      <c r="AT274" s="286"/>
      <c r="AU274" s="286"/>
      <c r="AV274" s="286"/>
      <c r="AW274" s="286"/>
      <c r="AX274" s="286"/>
      <c r="AY274" s="286"/>
      <c r="AZ274" s="286"/>
      <c r="BA274" s="286"/>
      <c r="BB274" s="286"/>
      <c r="BC274" s="286"/>
      <c r="BD274" s="287"/>
      <c r="BE274" s="287"/>
      <c r="BF274" s="287"/>
      <c r="BG274" s="288">
        <v>50</v>
      </c>
      <c r="BH274" s="287"/>
      <c r="BI274" s="287"/>
      <c r="BJ274" s="287"/>
      <c r="BK274" s="287"/>
      <c r="BL274" s="287"/>
      <c r="BM274" s="287"/>
      <c r="BN274" s="287"/>
      <c r="BO274" s="287"/>
      <c r="BP274" s="287"/>
      <c r="BQ274" s="287"/>
      <c r="BR274" s="287"/>
      <c r="BS274" s="287"/>
      <c r="BT274" s="287"/>
      <c r="BU274" s="287"/>
      <c r="BV274" s="287"/>
      <c r="BW274" s="287"/>
      <c r="BX274" s="286"/>
      <c r="BY274" s="289"/>
      <c r="BZ274" s="289">
        <v>50</v>
      </c>
      <c r="CA274" s="289"/>
      <c r="CB274" s="289"/>
      <c r="CC274" s="289"/>
      <c r="CD274" s="289"/>
      <c r="CE274" s="289"/>
      <c r="CF274" s="289"/>
      <c r="CG274" s="287"/>
      <c r="CH274" s="287"/>
      <c r="CI274" s="287"/>
      <c r="CJ274" s="287"/>
      <c r="CK274" s="287"/>
      <c r="CL274" s="287">
        <v>48</v>
      </c>
      <c r="CM274" s="287"/>
      <c r="CN274" s="287"/>
      <c r="CO274" s="287"/>
      <c r="CP274" s="287"/>
      <c r="CQ274" s="287">
        <v>45</v>
      </c>
      <c r="CR274" s="287">
        <v>48</v>
      </c>
      <c r="CS274" s="288">
        <f>I274</f>
        <v>45</v>
      </c>
      <c r="CT274" s="6"/>
      <c r="CU274" s="6"/>
      <c r="CV274" s="6"/>
      <c r="CW274" s="6"/>
      <c r="CX274" s="6"/>
      <c r="CY274" s="6"/>
      <c r="CZ274" s="6"/>
      <c r="DA274" s="343">
        <f t="shared" si="10"/>
        <v>19.5</v>
      </c>
    </row>
    <row r="275" spans="1:105" ht="20" customHeight="1" x14ac:dyDescent="0.35">
      <c r="A275" s="290" t="s">
        <v>2090</v>
      </c>
      <c r="B275" s="270" t="s">
        <v>870</v>
      </c>
      <c r="C275" s="270" t="s">
        <v>1714</v>
      </c>
      <c r="D275" s="297" t="s">
        <v>630</v>
      </c>
      <c r="E275" s="270" t="s">
        <v>34</v>
      </c>
      <c r="F275" s="270" t="s">
        <v>32</v>
      </c>
      <c r="G275" s="270" t="s">
        <v>39</v>
      </c>
      <c r="H275" s="298">
        <v>19.5</v>
      </c>
      <c r="I275" s="292"/>
      <c r="J275" s="286"/>
      <c r="K275" s="286"/>
      <c r="L275" s="286"/>
      <c r="M275" s="286"/>
      <c r="N275" s="286"/>
      <c r="O275" s="286"/>
      <c r="P275" s="286"/>
      <c r="Q275" s="286"/>
      <c r="R275" s="286"/>
      <c r="S275" s="286"/>
      <c r="T275" s="286"/>
      <c r="U275" s="286"/>
      <c r="V275" s="294"/>
      <c r="W275" s="286"/>
      <c r="X275" s="286"/>
      <c r="Y275" s="286"/>
      <c r="Z275" s="286"/>
      <c r="AA275" s="286"/>
      <c r="AB275" s="286"/>
      <c r="AC275" s="286"/>
      <c r="AD275" s="286"/>
      <c r="AE275" s="286"/>
      <c r="AF275" s="286"/>
      <c r="AG275" s="286"/>
      <c r="AH275" s="286"/>
      <c r="AI275" s="286"/>
      <c r="AJ275" s="286"/>
      <c r="AK275" s="295"/>
      <c r="AL275" s="288"/>
      <c r="AM275" s="287"/>
      <c r="AN275" s="287"/>
      <c r="AO275" s="287"/>
      <c r="AP275" s="286"/>
      <c r="AQ275" s="296"/>
      <c r="AR275" s="286"/>
      <c r="AS275" s="286"/>
      <c r="AT275" s="286"/>
      <c r="AU275" s="286"/>
      <c r="AV275" s="286"/>
      <c r="AW275" s="286"/>
      <c r="AX275" s="286"/>
      <c r="AY275" s="286"/>
      <c r="AZ275" s="286"/>
      <c r="BA275" s="286"/>
      <c r="BB275" s="286"/>
      <c r="BC275" s="286"/>
      <c r="BD275" s="287"/>
      <c r="BE275" s="287"/>
      <c r="BF275" s="287"/>
      <c r="BG275" s="288"/>
      <c r="BH275" s="287"/>
      <c r="BI275" s="287"/>
      <c r="BJ275" s="287"/>
      <c r="BK275" s="287"/>
      <c r="BL275" s="287"/>
      <c r="BM275" s="287"/>
      <c r="BN275" s="287"/>
      <c r="BO275" s="287"/>
      <c r="BP275" s="287"/>
      <c r="BQ275" s="287"/>
      <c r="BR275" s="287"/>
      <c r="BS275" s="287"/>
      <c r="BT275" s="287"/>
      <c r="BU275" s="287"/>
      <c r="BV275" s="287"/>
      <c r="BW275" s="287"/>
      <c r="BX275" s="286"/>
      <c r="BY275" s="289"/>
      <c r="BZ275" s="289"/>
      <c r="CA275" s="289"/>
      <c r="CB275" s="289"/>
      <c r="CC275" s="289"/>
      <c r="CD275" s="289"/>
      <c r="CE275" s="289"/>
      <c r="CF275" s="289"/>
      <c r="CG275" s="287"/>
      <c r="CH275" s="287"/>
      <c r="CI275" s="287"/>
      <c r="CJ275" s="287"/>
      <c r="CK275" s="287"/>
      <c r="CL275" s="287"/>
      <c r="CM275" s="287"/>
      <c r="CN275" s="287"/>
      <c r="CO275" s="287"/>
      <c r="CP275" s="287"/>
      <c r="CQ275" s="287">
        <v>45</v>
      </c>
      <c r="CR275" s="287"/>
      <c r="CS275" s="288">
        <v>45</v>
      </c>
      <c r="CT275" s="6"/>
      <c r="CU275" s="6"/>
      <c r="CV275" s="6"/>
      <c r="CW275" s="6"/>
      <c r="CX275" s="6"/>
      <c r="CY275" s="6"/>
      <c r="CZ275" s="6"/>
      <c r="DA275" s="343">
        <f>H275</f>
        <v>19.5</v>
      </c>
    </row>
    <row r="276" spans="1:105" ht="20" customHeight="1" x14ac:dyDescent="0.35">
      <c r="A276" s="290"/>
      <c r="B276" s="270" t="s">
        <v>871</v>
      </c>
      <c r="C276" s="270" t="s">
        <v>240</v>
      </c>
      <c r="D276" s="270" t="s">
        <v>630</v>
      </c>
      <c r="E276" s="270" t="s">
        <v>197</v>
      </c>
      <c r="F276" s="270" t="s">
        <v>872</v>
      </c>
      <c r="G276" s="270" t="s">
        <v>33</v>
      </c>
      <c r="H276" s="298">
        <v>128</v>
      </c>
      <c r="I276" s="292"/>
      <c r="J276" s="286"/>
      <c r="K276" s="286"/>
      <c r="L276" s="286"/>
      <c r="M276" s="286"/>
      <c r="N276" s="286"/>
      <c r="O276" s="286"/>
      <c r="P276" s="286"/>
      <c r="Q276" s="286"/>
      <c r="R276" s="286"/>
      <c r="S276" s="286"/>
      <c r="T276" s="286"/>
      <c r="U276" s="286"/>
      <c r="V276" s="294"/>
      <c r="W276" s="286"/>
      <c r="X276" s="286"/>
      <c r="Y276" s="286"/>
      <c r="Z276" s="286"/>
      <c r="AA276" s="286"/>
      <c r="AB276" s="286"/>
      <c r="AC276" s="286"/>
      <c r="AD276" s="286"/>
      <c r="AE276" s="286"/>
      <c r="AF276" s="286"/>
      <c r="AG276" s="286"/>
      <c r="AH276" s="286"/>
      <c r="AI276" s="286"/>
      <c r="AJ276" s="286"/>
      <c r="AK276" s="287"/>
      <c r="AL276" s="288"/>
      <c r="AM276" s="287"/>
      <c r="AN276" s="287"/>
      <c r="AO276" s="287"/>
      <c r="AP276" s="286"/>
      <c r="AQ276" s="296"/>
      <c r="AR276" s="286"/>
      <c r="AS276" s="286"/>
      <c r="AT276" s="286"/>
      <c r="AU276" s="286"/>
      <c r="AV276" s="286"/>
      <c r="AW276" s="286"/>
      <c r="AX276" s="286"/>
      <c r="AY276" s="286"/>
      <c r="AZ276" s="286"/>
      <c r="BA276" s="286"/>
      <c r="BB276" s="286"/>
      <c r="BC276" s="286"/>
      <c r="BD276" s="287"/>
      <c r="BE276" s="287"/>
      <c r="BF276" s="287"/>
      <c r="BG276" s="287"/>
      <c r="BH276" s="287"/>
      <c r="BI276" s="287"/>
      <c r="BJ276" s="287"/>
      <c r="BK276" s="287"/>
      <c r="BL276" s="287"/>
      <c r="BM276" s="287"/>
      <c r="BN276" s="287"/>
      <c r="BO276" s="287"/>
      <c r="BP276" s="287"/>
      <c r="BQ276" s="287"/>
      <c r="BR276" s="287"/>
      <c r="BS276" s="287"/>
      <c r="BT276" s="287"/>
      <c r="BU276" s="287"/>
      <c r="BV276" s="287"/>
      <c r="BW276" s="287"/>
      <c r="BX276" s="286"/>
      <c r="BY276" s="289"/>
      <c r="BZ276" s="289"/>
      <c r="CA276" s="289"/>
      <c r="CB276" s="289"/>
      <c r="CC276" s="289"/>
      <c r="CD276" s="289"/>
      <c r="CE276" s="289"/>
      <c r="CF276" s="289"/>
      <c r="CG276" s="287"/>
      <c r="CH276" s="287"/>
      <c r="CI276" s="287"/>
      <c r="CJ276" s="287"/>
      <c r="CK276" s="287"/>
      <c r="CL276" s="287"/>
      <c r="CM276" s="287"/>
      <c r="CN276" s="287"/>
      <c r="CO276" s="287"/>
      <c r="CP276" s="287"/>
      <c r="CQ276" s="287"/>
      <c r="CR276" s="287"/>
      <c r="CS276" s="6"/>
      <c r="CT276" s="6"/>
      <c r="CU276" s="6"/>
      <c r="CV276" s="6"/>
      <c r="CW276" s="6"/>
      <c r="CX276" s="6"/>
      <c r="CY276" s="6"/>
      <c r="CZ276" s="6"/>
      <c r="DA276" s="343">
        <f t="shared" si="10"/>
        <v>128</v>
      </c>
    </row>
    <row r="277" spans="1:105" ht="20" customHeight="1" x14ac:dyDescent="0.35">
      <c r="A277" s="290" t="s">
        <v>81</v>
      </c>
      <c r="B277" s="270" t="s">
        <v>873</v>
      </c>
      <c r="C277" s="270" t="s">
        <v>240</v>
      </c>
      <c r="D277" s="270" t="s">
        <v>630</v>
      </c>
      <c r="E277" s="270" t="s">
        <v>197</v>
      </c>
      <c r="F277" s="270" t="s">
        <v>419</v>
      </c>
      <c r="G277" s="270" t="s">
        <v>39</v>
      </c>
      <c r="H277" s="298">
        <f>H276/60</f>
        <v>2.1333333333333333</v>
      </c>
      <c r="I277" s="286"/>
      <c r="J277" s="292">
        <v>2.4</v>
      </c>
      <c r="K277" s="286"/>
      <c r="L277" s="286">
        <v>2.6</v>
      </c>
      <c r="M277" s="286"/>
      <c r="N277" s="286"/>
      <c r="O277" s="286"/>
      <c r="P277" s="286"/>
      <c r="Q277" s="286"/>
      <c r="R277" s="286"/>
      <c r="S277" s="286">
        <v>2.6</v>
      </c>
      <c r="T277" s="300">
        <v>2.4</v>
      </c>
      <c r="U277" s="286"/>
      <c r="V277" s="294"/>
      <c r="W277" s="286"/>
      <c r="X277" s="286"/>
      <c r="Y277" s="286"/>
      <c r="Z277" s="286"/>
      <c r="AA277" s="286"/>
      <c r="AB277" s="286"/>
      <c r="AC277" s="286"/>
      <c r="AD277" s="286"/>
      <c r="AE277" s="286"/>
      <c r="AF277" s="286"/>
      <c r="AG277" s="286"/>
      <c r="AH277" s="286"/>
      <c r="AI277" s="286">
        <v>2.4</v>
      </c>
      <c r="AJ277" s="286"/>
      <c r="AK277" s="287"/>
      <c r="AL277" s="288"/>
      <c r="AM277" s="287"/>
      <c r="AN277" s="287"/>
      <c r="AO277" s="300">
        <v>2.4</v>
      </c>
      <c r="AP277" s="300">
        <v>2.4</v>
      </c>
      <c r="AQ277" s="296">
        <v>2.6</v>
      </c>
      <c r="AR277" s="300">
        <v>2.4</v>
      </c>
      <c r="AS277" s="300">
        <v>2.4</v>
      </c>
      <c r="AT277" s="300">
        <v>2.4</v>
      </c>
      <c r="AU277" s="300"/>
      <c r="AV277" s="300">
        <v>2.4</v>
      </c>
      <c r="AW277" s="300">
        <v>2.4</v>
      </c>
      <c r="AX277" s="300">
        <v>2.4</v>
      </c>
      <c r="AY277" s="300">
        <v>2.4</v>
      </c>
      <c r="AZ277" s="300">
        <v>2.4</v>
      </c>
      <c r="BA277" s="300">
        <v>2.4</v>
      </c>
      <c r="BB277" s="300">
        <v>2.4</v>
      </c>
      <c r="BC277" s="300">
        <v>2.4</v>
      </c>
      <c r="BD277" s="287"/>
      <c r="BE277" s="287"/>
      <c r="BF277" s="287"/>
      <c r="BG277" s="288">
        <v>2.5</v>
      </c>
      <c r="BH277" s="287"/>
      <c r="BI277" s="287"/>
      <c r="BJ277" s="287"/>
      <c r="BK277" s="287"/>
      <c r="BL277" s="287"/>
      <c r="BM277" s="287"/>
      <c r="BN277" s="287"/>
      <c r="BO277" s="287"/>
      <c r="BP277" s="287"/>
      <c r="BQ277" s="287"/>
      <c r="BR277" s="287"/>
      <c r="BS277" s="287"/>
      <c r="BT277" s="287"/>
      <c r="BU277" s="287"/>
      <c r="BV277" s="287"/>
      <c r="BW277" s="287"/>
      <c r="BX277" s="300">
        <f>J277</f>
        <v>2.4</v>
      </c>
      <c r="BY277" s="289"/>
      <c r="BZ277" s="289"/>
      <c r="CA277" s="289"/>
      <c r="CB277" s="289"/>
      <c r="CC277" s="289"/>
      <c r="CD277" s="289"/>
      <c r="CE277" s="289"/>
      <c r="CF277" s="289"/>
      <c r="CG277" s="287"/>
      <c r="CH277" s="287"/>
      <c r="CI277" s="287"/>
      <c r="CJ277" s="287"/>
      <c r="CK277" s="287"/>
      <c r="CL277" s="287"/>
      <c r="CM277" s="292">
        <v>2.4</v>
      </c>
      <c r="CN277" s="287"/>
      <c r="CO277" s="292">
        <v>2.4</v>
      </c>
      <c r="CP277" s="287"/>
      <c r="CQ277" s="287">
        <v>2.5</v>
      </c>
      <c r="CR277" s="287">
        <v>2.8</v>
      </c>
      <c r="CS277" s="6"/>
      <c r="CT277" s="6"/>
      <c r="CU277" s="6"/>
      <c r="CV277" s="6"/>
      <c r="CW277" s="6"/>
      <c r="CX277" s="6"/>
      <c r="CY277" s="6"/>
      <c r="CZ277" s="6"/>
      <c r="DA277" s="343">
        <f t="shared" si="10"/>
        <v>2.1333333333333333</v>
      </c>
    </row>
    <row r="278" spans="1:105" ht="20" customHeight="1" x14ac:dyDescent="0.35">
      <c r="A278" s="290">
        <v>4000001591</v>
      </c>
      <c r="B278" s="270" t="s">
        <v>1056</v>
      </c>
      <c r="C278" s="270" t="s">
        <v>240</v>
      </c>
      <c r="D278" s="270" t="s">
        <v>630</v>
      </c>
      <c r="E278" s="270" t="s">
        <v>197</v>
      </c>
      <c r="F278" s="270" t="s">
        <v>419</v>
      </c>
      <c r="G278" s="270" t="s">
        <v>39</v>
      </c>
      <c r="H278" s="298">
        <v>2.13</v>
      </c>
      <c r="I278" s="286"/>
      <c r="J278" s="286"/>
      <c r="K278" s="286">
        <v>2.5</v>
      </c>
      <c r="L278" s="286"/>
      <c r="M278" s="286"/>
      <c r="N278" s="286"/>
      <c r="O278" s="286"/>
      <c r="P278" s="286"/>
      <c r="Q278" s="286"/>
      <c r="R278" s="286"/>
      <c r="S278" s="286"/>
      <c r="T278" s="286"/>
      <c r="U278" s="286"/>
      <c r="V278" s="294"/>
      <c r="W278" s="286"/>
      <c r="X278" s="286"/>
      <c r="Y278" s="286"/>
      <c r="Z278" s="286"/>
      <c r="AA278" s="286"/>
      <c r="AB278" s="286"/>
      <c r="AC278" s="286"/>
      <c r="AD278" s="286"/>
      <c r="AE278" s="286"/>
      <c r="AF278" s="286"/>
      <c r="AG278" s="286"/>
      <c r="AH278" s="286"/>
      <c r="AI278" s="286"/>
      <c r="AJ278" s="286"/>
      <c r="AK278" s="287"/>
      <c r="AL278" s="288"/>
      <c r="AM278" s="287"/>
      <c r="AN278" s="287"/>
      <c r="AO278" s="286"/>
      <c r="AP278" s="286"/>
      <c r="AQ278" s="296"/>
      <c r="AR278" s="286"/>
      <c r="AS278" s="286"/>
      <c r="AT278" s="286"/>
      <c r="AU278" s="286"/>
      <c r="AV278" s="286"/>
      <c r="AW278" s="286"/>
      <c r="AX278" s="286"/>
      <c r="AY278" s="286"/>
      <c r="AZ278" s="286"/>
      <c r="BA278" s="286"/>
      <c r="BB278" s="286"/>
      <c r="BC278" s="286"/>
      <c r="BD278" s="287"/>
      <c r="BE278" s="287"/>
      <c r="BF278" s="287"/>
      <c r="BG278" s="287"/>
      <c r="BH278" s="287"/>
      <c r="BI278" s="287"/>
      <c r="BJ278" s="287"/>
      <c r="BK278" s="287"/>
      <c r="BL278" s="287"/>
      <c r="BM278" s="287"/>
      <c r="BN278" s="287"/>
      <c r="BO278" s="287"/>
      <c r="BP278" s="287"/>
      <c r="BQ278" s="287"/>
      <c r="BR278" s="287"/>
      <c r="BS278" s="287"/>
      <c r="BT278" s="287"/>
      <c r="BU278" s="287"/>
      <c r="BV278" s="287"/>
      <c r="BW278" s="287"/>
      <c r="BX278" s="286"/>
      <c r="BY278" s="289"/>
      <c r="BZ278" s="289"/>
      <c r="CA278" s="289"/>
      <c r="CB278" s="289"/>
      <c r="CC278" s="289"/>
      <c r="CD278" s="289"/>
      <c r="CE278" s="289"/>
      <c r="CF278" s="289"/>
      <c r="CG278" s="287"/>
      <c r="CH278" s="287"/>
      <c r="CI278" s="287"/>
      <c r="CJ278" s="287"/>
      <c r="CK278" s="287"/>
      <c r="CL278" s="287"/>
      <c r="CM278" s="287"/>
      <c r="CN278" s="287"/>
      <c r="CO278" s="287"/>
      <c r="CP278" s="287"/>
      <c r="CQ278" s="287"/>
      <c r="CR278" s="287"/>
      <c r="CS278" s="6"/>
      <c r="CT278" s="6"/>
      <c r="CU278" s="6"/>
      <c r="CV278" s="6"/>
      <c r="CW278" s="6"/>
      <c r="CX278" s="6"/>
      <c r="CY278" s="6"/>
      <c r="CZ278" s="6"/>
      <c r="DA278" s="343">
        <f t="shared" si="10"/>
        <v>2.13</v>
      </c>
    </row>
    <row r="279" spans="1:105" ht="20" customHeight="1" x14ac:dyDescent="0.35">
      <c r="A279" s="290"/>
      <c r="B279" s="270" t="s">
        <v>875</v>
      </c>
      <c r="C279" s="270" t="s">
        <v>240</v>
      </c>
      <c r="D279" s="270"/>
      <c r="E279" s="270" t="s">
        <v>610</v>
      </c>
      <c r="F279" s="270" t="s">
        <v>874</v>
      </c>
      <c r="G279" s="270" t="s">
        <v>39</v>
      </c>
      <c r="H279" s="298">
        <v>100</v>
      </c>
      <c r="I279" s="286"/>
      <c r="J279" s="286"/>
      <c r="K279" s="286"/>
      <c r="L279" s="286"/>
      <c r="M279" s="286"/>
      <c r="N279" s="286"/>
      <c r="O279" s="286"/>
      <c r="P279" s="286"/>
      <c r="Q279" s="286"/>
      <c r="R279" s="286"/>
      <c r="S279" s="286"/>
      <c r="T279" s="286"/>
      <c r="U279" s="286"/>
      <c r="V279" s="294"/>
      <c r="W279" s="286"/>
      <c r="X279" s="286"/>
      <c r="Y279" s="286"/>
      <c r="Z279" s="286"/>
      <c r="AA279" s="286"/>
      <c r="AB279" s="286"/>
      <c r="AC279" s="286"/>
      <c r="AD279" s="286"/>
      <c r="AE279" s="286"/>
      <c r="AF279" s="286"/>
      <c r="AG279" s="286"/>
      <c r="AH279" s="286"/>
      <c r="AI279" s="286"/>
      <c r="AJ279" s="286"/>
      <c r="AK279" s="287"/>
      <c r="AL279" s="288"/>
      <c r="AM279" s="287"/>
      <c r="AN279" s="287"/>
      <c r="AO279" s="286"/>
      <c r="AP279" s="286"/>
      <c r="AQ279" s="296"/>
      <c r="AR279" s="286"/>
      <c r="AS279" s="286"/>
      <c r="AT279" s="286"/>
      <c r="AU279" s="286"/>
      <c r="AV279" s="286"/>
      <c r="AW279" s="286"/>
      <c r="AX279" s="286"/>
      <c r="AY279" s="286"/>
      <c r="AZ279" s="286"/>
      <c r="BA279" s="286"/>
      <c r="BB279" s="286"/>
      <c r="BC279" s="286"/>
      <c r="BD279" s="287"/>
      <c r="BE279" s="287"/>
      <c r="BF279" s="287"/>
      <c r="BG279" s="287"/>
      <c r="BH279" s="287"/>
      <c r="BI279" s="287"/>
      <c r="BJ279" s="287"/>
      <c r="BK279" s="287"/>
      <c r="BL279" s="287"/>
      <c r="BM279" s="287"/>
      <c r="BN279" s="287"/>
      <c r="BO279" s="287"/>
      <c r="BP279" s="287"/>
      <c r="BQ279" s="287"/>
      <c r="BR279" s="287"/>
      <c r="BS279" s="287"/>
      <c r="BT279" s="287"/>
      <c r="BU279" s="287"/>
      <c r="BV279" s="287"/>
      <c r="BW279" s="287"/>
      <c r="BX279" s="286"/>
      <c r="BY279" s="289"/>
      <c r="BZ279" s="289"/>
      <c r="CA279" s="289"/>
      <c r="CB279" s="289"/>
      <c r="CC279" s="289"/>
      <c r="CD279" s="289"/>
      <c r="CE279" s="289"/>
      <c r="CF279" s="289"/>
      <c r="CG279" s="287"/>
      <c r="CH279" s="287"/>
      <c r="CI279" s="287"/>
      <c r="CJ279" s="287"/>
      <c r="CK279" s="287"/>
      <c r="CL279" s="287"/>
      <c r="CM279" s="287"/>
      <c r="CN279" s="287"/>
      <c r="CO279" s="287"/>
      <c r="CP279" s="287"/>
      <c r="CQ279" s="287"/>
      <c r="CR279" s="287"/>
      <c r="CS279" s="6"/>
      <c r="CT279" s="6"/>
      <c r="CU279" s="6"/>
      <c r="CV279" s="6"/>
      <c r="CW279" s="6"/>
      <c r="CX279" s="6"/>
      <c r="CY279" s="6"/>
      <c r="CZ279" s="6"/>
      <c r="DA279" s="343">
        <f t="shared" si="10"/>
        <v>100</v>
      </c>
    </row>
    <row r="280" spans="1:105" ht="20" customHeight="1" x14ac:dyDescent="0.35">
      <c r="A280" s="290">
        <v>4000005669</v>
      </c>
      <c r="B280" s="270" t="s">
        <v>876</v>
      </c>
      <c r="C280" s="270" t="s">
        <v>240</v>
      </c>
      <c r="D280" s="270" t="s">
        <v>630</v>
      </c>
      <c r="E280" s="270" t="s">
        <v>610</v>
      </c>
      <c r="F280" s="270" t="s">
        <v>419</v>
      </c>
      <c r="G280" s="270" t="s">
        <v>39</v>
      </c>
      <c r="H280" s="298">
        <f>H279/40</f>
        <v>2.5</v>
      </c>
      <c r="I280" s="286">
        <v>3</v>
      </c>
      <c r="J280" s="292">
        <v>3</v>
      </c>
      <c r="K280" s="286">
        <v>3</v>
      </c>
      <c r="L280" s="286"/>
      <c r="M280" s="286"/>
      <c r="N280" s="292">
        <v>3.1</v>
      </c>
      <c r="O280" s="286">
        <v>3.1</v>
      </c>
      <c r="P280" s="292">
        <v>3.1</v>
      </c>
      <c r="Q280" s="286">
        <v>3.2</v>
      </c>
      <c r="R280" s="286">
        <v>3.1</v>
      </c>
      <c r="S280" s="286"/>
      <c r="T280" s="286">
        <v>3</v>
      </c>
      <c r="U280" s="286"/>
      <c r="V280" s="294"/>
      <c r="W280" s="286"/>
      <c r="X280" s="286"/>
      <c r="Y280" s="286"/>
      <c r="Z280" s="286"/>
      <c r="AA280" s="286"/>
      <c r="AB280" s="286"/>
      <c r="AC280" s="289">
        <v>3.1</v>
      </c>
      <c r="AD280" s="286"/>
      <c r="AE280" s="286"/>
      <c r="AF280" s="286"/>
      <c r="AG280" s="286"/>
      <c r="AH280" s="286"/>
      <c r="AI280" s="286"/>
      <c r="AJ280" s="286">
        <v>3.1</v>
      </c>
      <c r="AK280" s="295">
        <v>3</v>
      </c>
      <c r="AL280" s="288"/>
      <c r="AM280" s="287"/>
      <c r="AN280" s="287"/>
      <c r="AO280" s="287"/>
      <c r="AP280" s="286"/>
      <c r="AQ280" s="296">
        <v>3.1</v>
      </c>
      <c r="AR280" s="286"/>
      <c r="AS280" s="286"/>
      <c r="AT280" s="286"/>
      <c r="AU280" s="286">
        <v>3</v>
      </c>
      <c r="AV280" s="286"/>
      <c r="AW280" s="286"/>
      <c r="AX280" s="286"/>
      <c r="AY280" s="286"/>
      <c r="AZ280" s="286"/>
      <c r="BA280" s="286"/>
      <c r="BB280" s="286"/>
      <c r="BC280" s="286"/>
      <c r="BD280" s="287"/>
      <c r="BE280" s="287"/>
      <c r="BF280" s="287"/>
      <c r="BG280" s="288">
        <v>3</v>
      </c>
      <c r="BH280" s="287"/>
      <c r="BI280" s="287"/>
      <c r="BJ280" s="287"/>
      <c r="BK280" s="287"/>
      <c r="BL280" s="287"/>
      <c r="BM280" s="287"/>
      <c r="BN280" s="287"/>
      <c r="BO280" s="287"/>
      <c r="BP280" s="287"/>
      <c r="BQ280" s="287"/>
      <c r="BR280" s="287"/>
      <c r="BS280" s="287"/>
      <c r="BT280" s="287"/>
      <c r="BU280" s="287"/>
      <c r="BV280" s="287"/>
      <c r="BW280" s="287"/>
      <c r="BX280" s="286"/>
      <c r="BY280" s="289"/>
      <c r="BZ280" s="289">
        <v>3.1</v>
      </c>
      <c r="CA280" s="289"/>
      <c r="CB280" s="289"/>
      <c r="CC280" s="289"/>
      <c r="CD280" s="289"/>
      <c r="CE280" s="289"/>
      <c r="CF280" s="289"/>
      <c r="CG280" s="287"/>
      <c r="CH280" s="287"/>
      <c r="CI280" s="287"/>
      <c r="CJ280" s="287"/>
      <c r="CK280" s="287"/>
      <c r="CL280" s="287"/>
      <c r="CM280" s="287"/>
      <c r="CN280" s="287"/>
      <c r="CO280" s="287"/>
      <c r="CP280" s="287"/>
      <c r="CQ280" s="287"/>
      <c r="CR280" s="287">
        <v>3.3</v>
      </c>
      <c r="CS280" s="288">
        <f>I280</f>
        <v>3</v>
      </c>
      <c r="CT280" s="6"/>
      <c r="CU280" s="6"/>
      <c r="CV280" s="6"/>
      <c r="CW280" s="6"/>
      <c r="CX280" s="6"/>
      <c r="CY280" s="6"/>
      <c r="CZ280" s="6"/>
      <c r="DA280" s="343">
        <f t="shared" si="10"/>
        <v>2.5</v>
      </c>
    </row>
    <row r="281" spans="1:105" ht="20" customHeight="1" x14ac:dyDescent="0.35">
      <c r="A281" s="290"/>
      <c r="B281" s="270" t="s">
        <v>877</v>
      </c>
      <c r="C281" s="270" t="s">
        <v>1618</v>
      </c>
      <c r="D281" s="297" t="s">
        <v>604</v>
      </c>
      <c r="E281" s="270" t="s">
        <v>45</v>
      </c>
      <c r="F281" s="270" t="s">
        <v>878</v>
      </c>
      <c r="G281" s="270" t="s">
        <v>33</v>
      </c>
      <c r="H281" s="298">
        <v>140</v>
      </c>
      <c r="I281" s="286"/>
      <c r="J281" s="286"/>
      <c r="K281" s="286"/>
      <c r="L281" s="286"/>
      <c r="M281" s="286"/>
      <c r="N281" s="286"/>
      <c r="O281" s="286"/>
      <c r="P281" s="286"/>
      <c r="Q281" s="286"/>
      <c r="R281" s="286"/>
      <c r="S281" s="286"/>
      <c r="T281" s="286"/>
      <c r="U281" s="286"/>
      <c r="V281" s="294"/>
      <c r="W281" s="286"/>
      <c r="X281" s="286"/>
      <c r="Y281" s="286"/>
      <c r="Z281" s="286"/>
      <c r="AA281" s="286"/>
      <c r="AB281" s="286"/>
      <c r="AC281" s="286"/>
      <c r="AD281" s="286"/>
      <c r="AE281" s="286"/>
      <c r="AF281" s="286"/>
      <c r="AG281" s="286"/>
      <c r="AH281" s="286"/>
      <c r="AI281" s="286"/>
      <c r="AJ281" s="286"/>
      <c r="AK281" s="287"/>
      <c r="AL281" s="288"/>
      <c r="AM281" s="287"/>
      <c r="AN281" s="287"/>
      <c r="AO281" s="287"/>
      <c r="AP281" s="286"/>
      <c r="AQ281" s="296"/>
      <c r="AR281" s="286"/>
      <c r="AS281" s="286"/>
      <c r="AT281" s="286"/>
      <c r="AU281" s="286"/>
      <c r="AV281" s="286"/>
      <c r="AW281" s="286"/>
      <c r="AX281" s="286"/>
      <c r="AY281" s="286"/>
      <c r="AZ281" s="286"/>
      <c r="BA281" s="286"/>
      <c r="BB281" s="286"/>
      <c r="BC281" s="286"/>
      <c r="BD281" s="287"/>
      <c r="BE281" s="287"/>
      <c r="BF281" s="287"/>
      <c r="BG281" s="287"/>
      <c r="BH281" s="287"/>
      <c r="BI281" s="287"/>
      <c r="BJ281" s="287"/>
      <c r="BK281" s="287"/>
      <c r="BL281" s="287"/>
      <c r="BM281" s="287"/>
      <c r="BN281" s="287"/>
      <c r="BO281" s="287"/>
      <c r="BP281" s="287"/>
      <c r="BQ281" s="287"/>
      <c r="BR281" s="287"/>
      <c r="BS281" s="287"/>
      <c r="BT281" s="287"/>
      <c r="BU281" s="287"/>
      <c r="BV281" s="287"/>
      <c r="BW281" s="287"/>
      <c r="BX281" s="286"/>
      <c r="BY281" s="289"/>
      <c r="BZ281" s="289"/>
      <c r="CA281" s="289"/>
      <c r="CB281" s="289"/>
      <c r="CC281" s="289"/>
      <c r="CD281" s="289"/>
      <c r="CE281" s="289"/>
      <c r="CF281" s="289"/>
      <c r="CG281" s="287"/>
      <c r="CH281" s="287"/>
      <c r="CI281" s="287"/>
      <c r="CJ281" s="287"/>
      <c r="CK281" s="287"/>
      <c r="CL281" s="287"/>
      <c r="CM281" s="287"/>
      <c r="CN281" s="287"/>
      <c r="CO281" s="287"/>
      <c r="CP281" s="287"/>
      <c r="CQ281" s="287"/>
      <c r="CR281" s="287"/>
      <c r="CS281" s="6"/>
      <c r="CT281" s="6"/>
      <c r="CU281" s="6"/>
      <c r="CV281" s="6"/>
      <c r="CW281" s="6"/>
      <c r="CX281" s="6"/>
      <c r="CY281" s="6"/>
      <c r="CZ281" s="6"/>
      <c r="DA281" s="343">
        <f t="shared" si="10"/>
        <v>140</v>
      </c>
    </row>
    <row r="282" spans="1:105" ht="20" customHeight="1" x14ac:dyDescent="0.35">
      <c r="A282" s="290" t="s">
        <v>56</v>
      </c>
      <c r="B282" s="270" t="s">
        <v>879</v>
      </c>
      <c r="C282" s="270" t="s">
        <v>1618</v>
      </c>
      <c r="D282" s="297" t="s">
        <v>604</v>
      </c>
      <c r="E282" s="270" t="s">
        <v>45</v>
      </c>
      <c r="F282" s="270" t="s">
        <v>57</v>
      </c>
      <c r="G282" s="270" t="s">
        <v>44</v>
      </c>
      <c r="H282" s="298">
        <f>H281/10</f>
        <v>14</v>
      </c>
      <c r="I282" s="300">
        <v>20</v>
      </c>
      <c r="J282" s="286">
        <v>19.5</v>
      </c>
      <c r="K282" s="286"/>
      <c r="L282" s="286">
        <v>19</v>
      </c>
      <c r="M282" s="286"/>
      <c r="N282" s="286"/>
      <c r="O282" s="286">
        <v>19</v>
      </c>
      <c r="P282" s="292">
        <v>19</v>
      </c>
      <c r="Q282" s="286">
        <v>19</v>
      </c>
      <c r="R282" s="286">
        <v>19</v>
      </c>
      <c r="S282" s="286">
        <v>20</v>
      </c>
      <c r="T282" s="286"/>
      <c r="U282" s="286"/>
      <c r="V282" s="286"/>
      <c r="W282" s="286"/>
      <c r="X282" s="286"/>
      <c r="Y282" s="286"/>
      <c r="Z282" s="286"/>
      <c r="AA282" s="286"/>
      <c r="AB282" s="286"/>
      <c r="AC282" s="286"/>
      <c r="AD282" s="286"/>
      <c r="AE282" s="286"/>
      <c r="AF282" s="286"/>
      <c r="AG282" s="286"/>
      <c r="AH282" s="286">
        <v>20</v>
      </c>
      <c r="AI282" s="286"/>
      <c r="AJ282" s="286"/>
      <c r="AK282" s="295">
        <v>19</v>
      </c>
      <c r="AL282" s="288"/>
      <c r="AM282" s="287"/>
      <c r="AN282" s="287"/>
      <c r="AO282" s="287"/>
      <c r="AP282" s="286">
        <v>13</v>
      </c>
      <c r="AQ282" s="296"/>
      <c r="AR282" s="286">
        <v>13</v>
      </c>
      <c r="AS282" s="286"/>
      <c r="AT282" s="286">
        <v>13</v>
      </c>
      <c r="AU282" s="286">
        <v>13</v>
      </c>
      <c r="AV282" s="286">
        <v>13</v>
      </c>
      <c r="AW282" s="286">
        <v>13</v>
      </c>
      <c r="AX282" s="286">
        <v>13</v>
      </c>
      <c r="AY282" s="286">
        <v>13</v>
      </c>
      <c r="AZ282" s="286">
        <v>13</v>
      </c>
      <c r="BA282" s="286">
        <v>13</v>
      </c>
      <c r="BB282" s="286">
        <f>BA282</f>
        <v>13</v>
      </c>
      <c r="BC282" s="286">
        <v>13</v>
      </c>
      <c r="BD282" s="287"/>
      <c r="BE282" s="287"/>
      <c r="BF282" s="287"/>
      <c r="BG282" s="288">
        <v>18</v>
      </c>
      <c r="BH282" s="287"/>
      <c r="BI282" s="287"/>
      <c r="BJ282" s="287"/>
      <c r="BK282" s="287"/>
      <c r="BL282" s="287"/>
      <c r="BM282" s="287"/>
      <c r="BN282" s="287"/>
      <c r="BO282" s="287"/>
      <c r="BP282" s="287"/>
      <c r="BQ282" s="287"/>
      <c r="BR282" s="287"/>
      <c r="BS282" s="287"/>
      <c r="BT282" s="287"/>
      <c r="BU282" s="287"/>
      <c r="BV282" s="287"/>
      <c r="BW282" s="287"/>
      <c r="BX282" s="286"/>
      <c r="BY282" s="289"/>
      <c r="BZ282" s="289"/>
      <c r="CA282" s="289"/>
      <c r="CB282" s="289"/>
      <c r="CC282" s="289"/>
      <c r="CD282" s="289"/>
      <c r="CE282" s="289"/>
      <c r="CF282" s="289"/>
      <c r="CG282" s="287"/>
      <c r="CH282" s="287"/>
      <c r="CI282" s="287"/>
      <c r="CJ282" s="287"/>
      <c r="CK282" s="287"/>
      <c r="CL282" s="287"/>
      <c r="CM282" s="287"/>
      <c r="CN282" s="287"/>
      <c r="CO282" s="287"/>
      <c r="CP282" s="287"/>
      <c r="CQ282" s="287">
        <v>18</v>
      </c>
      <c r="CR282" s="287"/>
      <c r="CS282" s="288">
        <f>I282</f>
        <v>20</v>
      </c>
      <c r="CT282" s="6"/>
      <c r="CU282" s="6"/>
      <c r="CV282" s="6"/>
      <c r="CW282" s="6"/>
      <c r="CX282" s="6"/>
      <c r="CY282" s="6"/>
      <c r="CZ282" s="6"/>
      <c r="DA282" s="343">
        <f t="shared" si="10"/>
        <v>14</v>
      </c>
    </row>
    <row r="283" spans="1:105" ht="20" customHeight="1" x14ac:dyDescent="0.35">
      <c r="A283" s="290"/>
      <c r="B283" s="270" t="s">
        <v>1141</v>
      </c>
      <c r="C283" s="270" t="s">
        <v>1499</v>
      </c>
      <c r="D283" s="297" t="s">
        <v>604</v>
      </c>
      <c r="E283" s="270" t="s">
        <v>45</v>
      </c>
      <c r="F283" s="270" t="s">
        <v>57</v>
      </c>
      <c r="G283" s="270" t="s">
        <v>44</v>
      </c>
      <c r="H283" s="298">
        <f>H282</f>
        <v>14</v>
      </c>
      <c r="I283" s="292"/>
      <c r="J283" s="286"/>
      <c r="K283" s="286"/>
      <c r="L283" s="286"/>
      <c r="M283" s="286"/>
      <c r="N283" s="286"/>
      <c r="O283" s="286"/>
      <c r="P283" s="292"/>
      <c r="Q283" s="286"/>
      <c r="R283" s="286"/>
      <c r="S283" s="286"/>
      <c r="T283" s="286"/>
      <c r="U283" s="286"/>
      <c r="V283" s="286"/>
      <c r="W283" s="286"/>
      <c r="X283" s="286"/>
      <c r="Y283" s="286"/>
      <c r="Z283" s="286"/>
      <c r="AA283" s="286"/>
      <c r="AB283" s="286"/>
      <c r="AC283" s="286">
        <v>19</v>
      </c>
      <c r="AD283" s="286"/>
      <c r="AE283" s="286"/>
      <c r="AF283" s="286"/>
      <c r="AG283" s="286"/>
      <c r="AH283" s="286"/>
      <c r="AI283" s="286"/>
      <c r="AJ283" s="286"/>
      <c r="AK283" s="287"/>
      <c r="AL283" s="288"/>
      <c r="AM283" s="287"/>
      <c r="AN283" s="287"/>
      <c r="AO283" s="287"/>
      <c r="AP283" s="286"/>
      <c r="AQ283" s="296">
        <v>19</v>
      </c>
      <c r="AR283" s="286"/>
      <c r="AS283" s="286"/>
      <c r="AT283" s="286"/>
      <c r="AU283" s="286"/>
      <c r="AV283" s="286"/>
      <c r="AW283" s="286"/>
      <c r="AX283" s="286"/>
      <c r="AY283" s="286"/>
      <c r="AZ283" s="286"/>
      <c r="BA283" s="286"/>
      <c r="BB283" s="286"/>
      <c r="BC283" s="286"/>
      <c r="BD283" s="287"/>
      <c r="BE283" s="287"/>
      <c r="BF283" s="287"/>
      <c r="BG283" s="288">
        <v>19</v>
      </c>
      <c r="BH283" s="287"/>
      <c r="BI283" s="287"/>
      <c r="BJ283" s="287"/>
      <c r="BK283" s="287"/>
      <c r="BL283" s="287"/>
      <c r="BM283" s="287"/>
      <c r="BN283" s="287"/>
      <c r="BO283" s="287"/>
      <c r="BP283" s="287"/>
      <c r="BQ283" s="287"/>
      <c r="BR283" s="287"/>
      <c r="BS283" s="287"/>
      <c r="BT283" s="287"/>
      <c r="BU283" s="287"/>
      <c r="BV283" s="287"/>
      <c r="BW283" s="287"/>
      <c r="BX283" s="286"/>
      <c r="BY283" s="289"/>
      <c r="BZ283" s="289"/>
      <c r="CA283" s="289"/>
      <c r="CB283" s="289"/>
      <c r="CC283" s="289"/>
      <c r="CD283" s="289"/>
      <c r="CE283" s="289"/>
      <c r="CF283" s="289"/>
      <c r="CG283" s="287"/>
      <c r="CH283" s="287"/>
      <c r="CI283" s="287"/>
      <c r="CJ283" s="287"/>
      <c r="CK283" s="287"/>
      <c r="CL283" s="287"/>
      <c r="CM283" s="287"/>
      <c r="CN283" s="287"/>
      <c r="CO283" s="287"/>
      <c r="CP283" s="287"/>
      <c r="CQ283" s="287"/>
      <c r="CR283" s="287"/>
      <c r="CS283" s="6"/>
      <c r="CT283" s="6"/>
      <c r="CU283" s="6"/>
      <c r="CV283" s="6"/>
      <c r="CW283" s="6"/>
      <c r="CX283" s="6"/>
      <c r="CY283" s="6"/>
      <c r="CZ283" s="6"/>
      <c r="DA283" s="343">
        <f t="shared" si="10"/>
        <v>14</v>
      </c>
    </row>
    <row r="284" spans="1:105" ht="20" customHeight="1" x14ac:dyDescent="0.35">
      <c r="A284" s="290" t="s">
        <v>445</v>
      </c>
      <c r="B284" s="270" t="s">
        <v>880</v>
      </c>
      <c r="C284" s="270" t="s">
        <v>387</v>
      </c>
      <c r="D284" s="297" t="s">
        <v>630</v>
      </c>
      <c r="E284" s="270" t="s">
        <v>34</v>
      </c>
      <c r="F284" s="270" t="s">
        <v>1870</v>
      </c>
      <c r="G284" s="270" t="s">
        <v>38</v>
      </c>
      <c r="H284" s="298">
        <f>6*2</f>
        <v>12</v>
      </c>
      <c r="I284" s="292">
        <v>16</v>
      </c>
      <c r="J284" s="292">
        <v>16</v>
      </c>
      <c r="K284" s="286"/>
      <c r="L284" s="286"/>
      <c r="M284" s="286"/>
      <c r="N284" s="286"/>
      <c r="O284" s="286"/>
      <c r="P284" s="286"/>
      <c r="Q284" s="286"/>
      <c r="R284" s="286"/>
      <c r="S284" s="286"/>
      <c r="T284" s="286">
        <v>16</v>
      </c>
      <c r="U284" s="286"/>
      <c r="V284" s="294"/>
      <c r="W284" s="286"/>
      <c r="X284" s="286"/>
      <c r="Y284" s="286"/>
      <c r="Z284" s="286"/>
      <c r="AA284" s="286"/>
      <c r="AB284" s="286"/>
      <c r="AC284" s="286"/>
      <c r="AD284" s="286"/>
      <c r="AE284" s="286"/>
      <c r="AF284" s="286"/>
      <c r="AG284" s="286"/>
      <c r="AH284" s="286"/>
      <c r="AI284" s="286">
        <v>16</v>
      </c>
      <c r="AJ284" s="286"/>
      <c r="AK284" s="295">
        <v>18</v>
      </c>
      <c r="AL284" s="288"/>
      <c r="AM284" s="287"/>
      <c r="AN284" s="287"/>
      <c r="AO284" s="287"/>
      <c r="AP284" s="286">
        <v>16</v>
      </c>
      <c r="AQ284" s="296">
        <v>16</v>
      </c>
      <c r="AR284" s="286">
        <v>16</v>
      </c>
      <c r="AS284" s="286"/>
      <c r="AT284" s="286">
        <v>16</v>
      </c>
      <c r="AU284" s="286">
        <v>16</v>
      </c>
      <c r="AV284" s="286">
        <v>16</v>
      </c>
      <c r="AW284" s="286">
        <v>16</v>
      </c>
      <c r="AX284" s="286">
        <v>16</v>
      </c>
      <c r="AY284" s="286">
        <v>16</v>
      </c>
      <c r="AZ284" s="286">
        <v>16</v>
      </c>
      <c r="BA284" s="286">
        <v>16</v>
      </c>
      <c r="BB284" s="286">
        <f>BA284</f>
        <v>16</v>
      </c>
      <c r="BC284" s="286">
        <v>16</v>
      </c>
      <c r="BD284" s="287"/>
      <c r="BE284" s="287"/>
      <c r="BF284" s="287"/>
      <c r="BG284" s="288">
        <v>16</v>
      </c>
      <c r="BH284" s="286">
        <v>16</v>
      </c>
      <c r="BI284" s="287"/>
      <c r="BJ284" s="287"/>
      <c r="BK284" s="287"/>
      <c r="BL284" s="287"/>
      <c r="BM284" s="287"/>
      <c r="BN284" s="287"/>
      <c r="BO284" s="287"/>
      <c r="BP284" s="287"/>
      <c r="BQ284" s="287"/>
      <c r="BR284" s="287"/>
      <c r="BS284" s="287"/>
      <c r="BT284" s="287"/>
      <c r="BU284" s="287"/>
      <c r="BV284" s="287"/>
      <c r="BW284" s="287"/>
      <c r="BX284" s="286">
        <v>16</v>
      </c>
      <c r="BY284" s="289"/>
      <c r="BZ284" s="289"/>
      <c r="CA284" s="289"/>
      <c r="CB284" s="289"/>
      <c r="CC284" s="289"/>
      <c r="CD284" s="289"/>
      <c r="CE284" s="289"/>
      <c r="CF284" s="289"/>
      <c r="CG284" s="287"/>
      <c r="CH284" s="287"/>
      <c r="CI284" s="287"/>
      <c r="CJ284" s="287"/>
      <c r="CK284" s="287"/>
      <c r="CL284" s="287"/>
      <c r="CM284" s="292">
        <v>16</v>
      </c>
      <c r="CN284" s="292">
        <v>16</v>
      </c>
      <c r="CO284" s="287"/>
      <c r="CP284" s="287"/>
      <c r="CQ284" s="287">
        <v>16</v>
      </c>
      <c r="CR284" s="292">
        <v>20</v>
      </c>
      <c r="CS284" s="288">
        <f>I284</f>
        <v>16</v>
      </c>
      <c r="CT284" s="6"/>
      <c r="CU284" s="6"/>
      <c r="CV284" s="6"/>
      <c r="CW284" s="6"/>
      <c r="CX284" s="6"/>
      <c r="CY284" s="6"/>
      <c r="CZ284" s="6"/>
      <c r="DA284" s="343">
        <f t="shared" si="10"/>
        <v>12</v>
      </c>
    </row>
    <row r="285" spans="1:105" ht="20" customHeight="1" x14ac:dyDescent="0.35">
      <c r="A285" s="290">
        <v>520788</v>
      </c>
      <c r="B285" s="270" t="s">
        <v>2147</v>
      </c>
      <c r="C285" s="270" t="s">
        <v>387</v>
      </c>
      <c r="D285" s="297" t="s">
        <v>630</v>
      </c>
      <c r="E285" s="270" t="s">
        <v>34</v>
      </c>
      <c r="F285" s="270" t="s">
        <v>599</v>
      </c>
      <c r="G285" s="270" t="s">
        <v>38</v>
      </c>
      <c r="H285" s="298">
        <v>6</v>
      </c>
      <c r="I285" s="292">
        <v>8</v>
      </c>
      <c r="J285" s="292"/>
      <c r="K285" s="286"/>
      <c r="L285" s="286"/>
      <c r="M285" s="286"/>
      <c r="N285" s="286"/>
      <c r="O285" s="286"/>
      <c r="P285" s="286"/>
      <c r="Q285" s="286"/>
      <c r="R285" s="286"/>
      <c r="S285" s="286"/>
      <c r="T285" s="286"/>
      <c r="U285" s="286"/>
      <c r="V285" s="294"/>
      <c r="W285" s="286"/>
      <c r="X285" s="286"/>
      <c r="Y285" s="286"/>
      <c r="Z285" s="286"/>
      <c r="AA285" s="286"/>
      <c r="AB285" s="286"/>
      <c r="AC285" s="286"/>
      <c r="AD285" s="286"/>
      <c r="AE285" s="286"/>
      <c r="AF285" s="286"/>
      <c r="AG285" s="286"/>
      <c r="AH285" s="286"/>
      <c r="AI285" s="286"/>
      <c r="AJ285" s="286"/>
      <c r="AK285" s="295"/>
      <c r="AL285" s="288"/>
      <c r="AM285" s="287"/>
      <c r="AN285" s="287"/>
      <c r="AO285" s="287"/>
      <c r="AP285" s="286"/>
      <c r="AQ285" s="296"/>
      <c r="AR285" s="286"/>
      <c r="AS285" s="286"/>
      <c r="AT285" s="286"/>
      <c r="AU285" s="286"/>
      <c r="AV285" s="286"/>
      <c r="AW285" s="286"/>
      <c r="AX285" s="286"/>
      <c r="AY285" s="286"/>
      <c r="AZ285" s="286"/>
      <c r="BA285" s="286"/>
      <c r="BB285" s="286"/>
      <c r="BC285" s="286"/>
      <c r="BD285" s="287"/>
      <c r="BE285" s="287"/>
      <c r="BF285" s="287"/>
      <c r="BG285" s="288"/>
      <c r="BH285" s="286"/>
      <c r="BI285" s="287"/>
      <c r="BJ285" s="287"/>
      <c r="BK285" s="287"/>
      <c r="BL285" s="287"/>
      <c r="BM285" s="287"/>
      <c r="BN285" s="287"/>
      <c r="BO285" s="287"/>
      <c r="BP285" s="287"/>
      <c r="BQ285" s="287"/>
      <c r="BR285" s="287"/>
      <c r="BS285" s="287"/>
      <c r="BT285" s="287"/>
      <c r="BU285" s="287"/>
      <c r="BV285" s="287"/>
      <c r="BW285" s="287"/>
      <c r="BX285" s="286"/>
      <c r="BY285" s="289"/>
      <c r="BZ285" s="289"/>
      <c r="CA285" s="289"/>
      <c r="CB285" s="289"/>
      <c r="CC285" s="289"/>
      <c r="CD285" s="289"/>
      <c r="CE285" s="289"/>
      <c r="CF285" s="289"/>
      <c r="CG285" s="287"/>
      <c r="CH285" s="287"/>
      <c r="CI285" s="287"/>
      <c r="CJ285" s="287"/>
      <c r="CK285" s="287"/>
      <c r="CL285" s="287"/>
      <c r="CM285" s="292"/>
      <c r="CN285" s="287"/>
      <c r="CO285" s="287"/>
      <c r="CP285" s="287"/>
      <c r="CQ285" s="287"/>
      <c r="CR285" s="292"/>
      <c r="CS285" s="288">
        <f>I285</f>
        <v>8</v>
      </c>
      <c r="CT285" s="6"/>
      <c r="CU285" s="6"/>
      <c r="CV285" s="6"/>
      <c r="CW285" s="6"/>
      <c r="CX285" s="6"/>
      <c r="CY285" s="6"/>
      <c r="CZ285" s="6"/>
      <c r="DA285" s="343">
        <f t="shared" ref="DA285" si="13">H285</f>
        <v>6</v>
      </c>
    </row>
    <row r="286" spans="1:105" ht="20" customHeight="1" x14ac:dyDescent="0.35">
      <c r="A286" s="290">
        <v>520789</v>
      </c>
      <c r="B286" s="270" t="s">
        <v>2273</v>
      </c>
      <c r="C286" s="270" t="s">
        <v>387</v>
      </c>
      <c r="D286" s="297" t="s">
        <v>630</v>
      </c>
      <c r="E286" s="270" t="s">
        <v>34</v>
      </c>
      <c r="F286" s="270" t="s">
        <v>32</v>
      </c>
      <c r="G286" s="270" t="s">
        <v>38</v>
      </c>
      <c r="H286" s="298">
        <v>12</v>
      </c>
      <c r="I286" s="292">
        <v>16</v>
      </c>
      <c r="J286" s="292"/>
      <c r="K286" s="286"/>
      <c r="L286" s="286"/>
      <c r="M286" s="286"/>
      <c r="N286" s="286"/>
      <c r="O286" s="286"/>
      <c r="P286" s="286"/>
      <c r="Q286" s="286"/>
      <c r="R286" s="286"/>
      <c r="S286" s="286"/>
      <c r="T286" s="286"/>
      <c r="U286" s="286"/>
      <c r="V286" s="294"/>
      <c r="W286" s="286"/>
      <c r="X286" s="286"/>
      <c r="Y286" s="286"/>
      <c r="Z286" s="286"/>
      <c r="AA286" s="286"/>
      <c r="AB286" s="286"/>
      <c r="AC286" s="286"/>
      <c r="AD286" s="286"/>
      <c r="AE286" s="286"/>
      <c r="AF286" s="286"/>
      <c r="AG286" s="286"/>
      <c r="AH286" s="286"/>
      <c r="AI286" s="286"/>
      <c r="AJ286" s="286"/>
      <c r="AK286" s="295"/>
      <c r="AL286" s="288"/>
      <c r="AM286" s="287"/>
      <c r="AN286" s="287"/>
      <c r="AO286" s="287"/>
      <c r="AP286" s="286"/>
      <c r="AQ286" s="296"/>
      <c r="AR286" s="286"/>
      <c r="AS286" s="286"/>
      <c r="AT286" s="286"/>
      <c r="AU286" s="286"/>
      <c r="AV286" s="286"/>
      <c r="AW286" s="286"/>
      <c r="AX286" s="286"/>
      <c r="AY286" s="286"/>
      <c r="AZ286" s="286"/>
      <c r="BA286" s="286"/>
      <c r="BB286" s="286"/>
      <c r="BC286" s="286"/>
      <c r="BD286" s="287"/>
      <c r="BE286" s="287"/>
      <c r="BF286" s="287"/>
      <c r="BG286" s="288"/>
      <c r="BH286" s="286"/>
      <c r="BI286" s="287"/>
      <c r="BJ286" s="287"/>
      <c r="BK286" s="287"/>
      <c r="BL286" s="287"/>
      <c r="BM286" s="287"/>
      <c r="BN286" s="287"/>
      <c r="BO286" s="287"/>
      <c r="BP286" s="287"/>
      <c r="BQ286" s="287"/>
      <c r="BR286" s="287"/>
      <c r="BS286" s="287"/>
      <c r="BT286" s="287"/>
      <c r="BU286" s="287"/>
      <c r="BV286" s="287"/>
      <c r="BW286" s="287"/>
      <c r="BX286" s="286"/>
      <c r="BY286" s="289"/>
      <c r="BZ286" s="289"/>
      <c r="CA286" s="289"/>
      <c r="CB286" s="289"/>
      <c r="CC286" s="289"/>
      <c r="CD286" s="289"/>
      <c r="CE286" s="289"/>
      <c r="CF286" s="289"/>
      <c r="CG286" s="287"/>
      <c r="CH286" s="287"/>
      <c r="CI286" s="287"/>
      <c r="CJ286" s="287"/>
      <c r="CK286" s="287"/>
      <c r="CL286" s="287"/>
      <c r="CM286" s="292"/>
      <c r="CN286" s="287"/>
      <c r="CO286" s="287"/>
      <c r="CP286" s="287"/>
      <c r="CQ286" s="287"/>
      <c r="CR286" s="292"/>
      <c r="CS286" s="288"/>
      <c r="CT286" s="6"/>
      <c r="CU286" s="6"/>
      <c r="CV286" s="6"/>
      <c r="CW286" s="6"/>
      <c r="CX286" s="6"/>
      <c r="CY286" s="6"/>
      <c r="CZ286" s="6"/>
      <c r="DA286" s="343"/>
    </row>
    <row r="287" spans="1:105" ht="20" customHeight="1" x14ac:dyDescent="0.35">
      <c r="A287" s="290" t="s">
        <v>2093</v>
      </c>
      <c r="B287" s="270" t="s">
        <v>880</v>
      </c>
      <c r="C287" s="270" t="s">
        <v>387</v>
      </c>
      <c r="D287" s="297" t="s">
        <v>630</v>
      </c>
      <c r="E287" s="270" t="s">
        <v>34</v>
      </c>
      <c r="F287" s="270" t="s">
        <v>1870</v>
      </c>
      <c r="G287" s="270" t="s">
        <v>38</v>
      </c>
      <c r="H287" s="298">
        <f>6*2</f>
        <v>12</v>
      </c>
      <c r="I287" s="292"/>
      <c r="J287" s="292"/>
      <c r="K287" s="286"/>
      <c r="L287" s="286"/>
      <c r="M287" s="286"/>
      <c r="N287" s="286"/>
      <c r="O287" s="286"/>
      <c r="P287" s="286"/>
      <c r="Q287" s="286"/>
      <c r="R287" s="286"/>
      <c r="S287" s="286"/>
      <c r="T287" s="286"/>
      <c r="U287" s="286"/>
      <c r="V287" s="294"/>
      <c r="W287" s="286"/>
      <c r="X287" s="286"/>
      <c r="Y287" s="286"/>
      <c r="Z287" s="286"/>
      <c r="AA287" s="286"/>
      <c r="AB287" s="286"/>
      <c r="AC287" s="286"/>
      <c r="AD287" s="286"/>
      <c r="AE287" s="286"/>
      <c r="AF287" s="286"/>
      <c r="AG287" s="286"/>
      <c r="AH287" s="286"/>
      <c r="AI287" s="286"/>
      <c r="AJ287" s="286"/>
      <c r="AK287" s="295"/>
      <c r="AL287" s="288"/>
      <c r="AM287" s="287"/>
      <c r="AN287" s="287"/>
      <c r="AO287" s="287"/>
      <c r="AP287" s="286"/>
      <c r="AQ287" s="296"/>
      <c r="AR287" s="286"/>
      <c r="AS287" s="286"/>
      <c r="AT287" s="286"/>
      <c r="AU287" s="286"/>
      <c r="AV287" s="286"/>
      <c r="AW287" s="286"/>
      <c r="AX287" s="286"/>
      <c r="AY287" s="286"/>
      <c r="AZ287" s="286"/>
      <c r="BA287" s="286"/>
      <c r="BB287" s="286"/>
      <c r="BC287" s="286"/>
      <c r="BD287" s="287"/>
      <c r="BE287" s="287"/>
      <c r="BF287" s="287"/>
      <c r="BG287" s="288"/>
      <c r="BH287" s="286"/>
      <c r="BI287" s="287"/>
      <c r="BJ287" s="287"/>
      <c r="BK287" s="287"/>
      <c r="BL287" s="287"/>
      <c r="BM287" s="287"/>
      <c r="BN287" s="287"/>
      <c r="BO287" s="287"/>
      <c r="BP287" s="287"/>
      <c r="BQ287" s="287"/>
      <c r="BR287" s="287"/>
      <c r="BS287" s="287"/>
      <c r="BT287" s="287"/>
      <c r="BU287" s="287"/>
      <c r="BV287" s="287"/>
      <c r="BW287" s="287"/>
      <c r="BX287" s="286"/>
      <c r="BY287" s="289"/>
      <c r="BZ287" s="289"/>
      <c r="CA287" s="289"/>
      <c r="CB287" s="289"/>
      <c r="CC287" s="289"/>
      <c r="CD287" s="289"/>
      <c r="CE287" s="289"/>
      <c r="CF287" s="289"/>
      <c r="CG287" s="287"/>
      <c r="CH287" s="287"/>
      <c r="CI287" s="287"/>
      <c r="CJ287" s="287"/>
      <c r="CK287" s="287"/>
      <c r="CL287" s="287"/>
      <c r="CM287" s="292"/>
      <c r="CN287" s="287"/>
      <c r="CO287" s="287"/>
      <c r="CP287" s="287"/>
      <c r="CQ287" s="287">
        <v>16</v>
      </c>
      <c r="CR287" s="287"/>
      <c r="CS287" s="288">
        <f>I287</f>
        <v>0</v>
      </c>
      <c r="CT287" s="6"/>
      <c r="CU287" s="6"/>
      <c r="CV287" s="6"/>
      <c r="CW287" s="6"/>
      <c r="CX287" s="6"/>
      <c r="CY287" s="6"/>
      <c r="CZ287" s="6"/>
      <c r="DA287" s="343">
        <f>H287</f>
        <v>12</v>
      </c>
    </row>
    <row r="288" spans="1:105" ht="20" customHeight="1" x14ac:dyDescent="0.35">
      <c r="A288" s="301"/>
      <c r="B288" s="270" t="s">
        <v>881</v>
      </c>
      <c r="C288" s="270" t="s">
        <v>255</v>
      </c>
      <c r="D288" s="270" t="s">
        <v>630</v>
      </c>
      <c r="E288" s="270" t="s">
        <v>34</v>
      </c>
      <c r="F288" s="270" t="s">
        <v>448</v>
      </c>
      <c r="G288" s="270" t="s">
        <v>33</v>
      </c>
      <c r="H288" s="298">
        <v>80</v>
      </c>
      <c r="I288" s="286"/>
      <c r="J288" s="286"/>
      <c r="K288" s="286"/>
      <c r="L288" s="286">
        <v>90</v>
      </c>
      <c r="M288" s="400"/>
      <c r="N288" s="286"/>
      <c r="O288" s="286"/>
      <c r="P288" s="286"/>
      <c r="Q288" s="286"/>
      <c r="R288" s="286">
        <v>90</v>
      </c>
      <c r="S288" s="286"/>
      <c r="T288" s="286"/>
      <c r="U288" s="286"/>
      <c r="V288" s="286"/>
      <c r="W288" s="286"/>
      <c r="X288" s="286"/>
      <c r="Y288" s="286"/>
      <c r="Z288" s="286"/>
      <c r="AA288" s="286"/>
      <c r="AB288" s="286"/>
      <c r="AC288" s="286"/>
      <c r="AD288" s="286"/>
      <c r="AE288" s="286"/>
      <c r="AF288" s="286"/>
      <c r="AG288" s="286"/>
      <c r="AH288" s="286"/>
      <c r="AI288" s="286"/>
      <c r="AJ288" s="286"/>
      <c r="AK288" s="287"/>
      <c r="AL288" s="288"/>
      <c r="AM288" s="287"/>
      <c r="AN288" s="287"/>
      <c r="AO288" s="287"/>
      <c r="AP288" s="286"/>
      <c r="AQ288" s="296">
        <v>95</v>
      </c>
      <c r="AR288" s="286"/>
      <c r="AS288" s="286"/>
      <c r="AT288" s="286"/>
      <c r="AU288" s="286"/>
      <c r="AV288" s="286"/>
      <c r="AW288" s="286"/>
      <c r="AX288" s="286"/>
      <c r="AY288" s="286"/>
      <c r="AZ288" s="286"/>
      <c r="BA288" s="286"/>
      <c r="BB288" s="286"/>
      <c r="BC288" s="286"/>
      <c r="BD288" s="287"/>
      <c r="BE288" s="287"/>
      <c r="BF288" s="287"/>
      <c r="BG288" s="287"/>
      <c r="BH288" s="287"/>
      <c r="BI288" s="287"/>
      <c r="BJ288" s="287"/>
      <c r="BK288" s="287"/>
      <c r="BL288" s="287"/>
      <c r="BM288" s="287"/>
      <c r="BN288" s="287"/>
      <c r="BO288" s="287"/>
      <c r="BP288" s="287"/>
      <c r="BQ288" s="287"/>
      <c r="BR288" s="287"/>
      <c r="BS288" s="287"/>
      <c r="BT288" s="287"/>
      <c r="BU288" s="287"/>
      <c r="BV288" s="287"/>
      <c r="BW288" s="287"/>
      <c r="BX288" s="286"/>
      <c r="BY288" s="289"/>
      <c r="BZ288" s="289"/>
      <c r="CA288" s="289"/>
      <c r="CB288" s="289"/>
      <c r="CC288" s="289"/>
      <c r="CD288" s="289"/>
      <c r="CE288" s="289"/>
      <c r="CF288" s="289"/>
      <c r="CG288" s="287"/>
      <c r="CH288" s="287"/>
      <c r="CI288" s="287"/>
      <c r="CJ288" s="287"/>
      <c r="CK288" s="287"/>
      <c r="CL288" s="287"/>
      <c r="CM288" s="287"/>
      <c r="CN288" s="287"/>
      <c r="CO288" s="287"/>
      <c r="CP288" s="287"/>
      <c r="CQ288" s="287"/>
      <c r="CR288" s="287"/>
      <c r="CS288" s="6"/>
      <c r="CT288" s="6"/>
      <c r="CU288" s="6"/>
      <c r="CV288" s="6"/>
      <c r="CW288" s="6"/>
      <c r="CX288" s="6"/>
      <c r="CY288" s="6"/>
      <c r="CZ288" s="6"/>
      <c r="DA288" s="343">
        <f t="shared" si="10"/>
        <v>80</v>
      </c>
    </row>
    <row r="289" spans="1:105" ht="20" customHeight="1" x14ac:dyDescent="0.35">
      <c r="A289" s="290"/>
      <c r="B289" s="270" t="s">
        <v>882</v>
      </c>
      <c r="C289" s="270" t="s">
        <v>255</v>
      </c>
      <c r="D289" s="297" t="s">
        <v>630</v>
      </c>
      <c r="E289" s="270" t="s">
        <v>34</v>
      </c>
      <c r="F289" s="270" t="s">
        <v>330</v>
      </c>
      <c r="G289" s="270" t="s">
        <v>39</v>
      </c>
      <c r="H289" s="298">
        <f>H288/2</f>
        <v>40</v>
      </c>
      <c r="I289" s="292"/>
      <c r="J289" s="286"/>
      <c r="K289" s="286"/>
      <c r="L289" s="286">
        <v>45</v>
      </c>
      <c r="M289" s="400"/>
      <c r="N289" s="286"/>
      <c r="O289" s="286"/>
      <c r="P289" s="292">
        <v>45</v>
      </c>
      <c r="Q289" s="286"/>
      <c r="R289" s="286">
        <v>45</v>
      </c>
      <c r="S289" s="286"/>
      <c r="T289" s="286"/>
      <c r="U289" s="286"/>
      <c r="V289" s="286"/>
      <c r="W289" s="286"/>
      <c r="X289" s="286"/>
      <c r="Y289" s="286"/>
      <c r="Z289" s="286"/>
      <c r="AA289" s="286"/>
      <c r="AB289" s="286"/>
      <c r="AC289" s="286"/>
      <c r="AD289" s="286"/>
      <c r="AE289" s="286"/>
      <c r="AF289" s="286"/>
      <c r="AG289" s="286"/>
      <c r="AH289" s="286"/>
      <c r="AI289" s="286"/>
      <c r="AJ289" s="286"/>
      <c r="AK289" s="287"/>
      <c r="AL289" s="288"/>
      <c r="AM289" s="287"/>
      <c r="AN289" s="287"/>
      <c r="AO289" s="287"/>
      <c r="AP289" s="286"/>
      <c r="AQ289" s="296"/>
      <c r="AR289" s="286"/>
      <c r="AS289" s="286"/>
      <c r="AT289" s="286"/>
      <c r="AU289" s="286"/>
      <c r="AV289" s="286"/>
      <c r="AW289" s="286"/>
      <c r="AX289" s="286"/>
      <c r="AY289" s="286"/>
      <c r="AZ289" s="286"/>
      <c r="BA289" s="286"/>
      <c r="BB289" s="286"/>
      <c r="BC289" s="286"/>
      <c r="BD289" s="287"/>
      <c r="BE289" s="287"/>
      <c r="BF289" s="287"/>
      <c r="BG289" s="288">
        <v>45</v>
      </c>
      <c r="BH289" s="287"/>
      <c r="BI289" s="287"/>
      <c r="BJ289" s="287"/>
      <c r="BK289" s="287"/>
      <c r="BL289" s="287"/>
      <c r="BM289" s="287"/>
      <c r="BN289" s="287"/>
      <c r="BO289" s="287"/>
      <c r="BP289" s="287"/>
      <c r="BQ289" s="287"/>
      <c r="BR289" s="287"/>
      <c r="BS289" s="287"/>
      <c r="BT289" s="287"/>
      <c r="BU289" s="287"/>
      <c r="BV289" s="287"/>
      <c r="BW289" s="287"/>
      <c r="BX289" s="286"/>
      <c r="BY289" s="289"/>
      <c r="BZ289" s="289"/>
      <c r="CA289" s="289"/>
      <c r="CB289" s="289"/>
      <c r="CC289" s="289"/>
      <c r="CD289" s="289"/>
      <c r="CE289" s="289"/>
      <c r="CF289" s="289"/>
      <c r="CG289" s="287"/>
      <c r="CH289" s="287"/>
      <c r="CI289" s="287"/>
      <c r="CJ289" s="287"/>
      <c r="CK289" s="287"/>
      <c r="CL289" s="287"/>
      <c r="CM289" s="287"/>
      <c r="CN289" s="287"/>
      <c r="CO289" s="287"/>
      <c r="CP289" s="287"/>
      <c r="CQ289" s="287"/>
      <c r="CR289" s="287"/>
      <c r="CS289" s="318"/>
      <c r="CT289" s="6"/>
      <c r="CU289" s="6"/>
      <c r="CV289" s="6"/>
      <c r="CW289" s="6"/>
      <c r="CX289" s="6"/>
      <c r="CY289" s="6"/>
      <c r="CZ289" s="6"/>
      <c r="DA289" s="343">
        <f t="shared" si="10"/>
        <v>40</v>
      </c>
    </row>
    <row r="290" spans="1:105" ht="20" customHeight="1" x14ac:dyDescent="0.35">
      <c r="A290" s="290"/>
      <c r="B290" s="270" t="s">
        <v>1418</v>
      </c>
      <c r="C290" s="270" t="s">
        <v>2137</v>
      </c>
      <c r="D290" s="297" t="s">
        <v>513</v>
      </c>
      <c r="E290" s="270" t="s">
        <v>34</v>
      </c>
      <c r="F290" s="270" t="s">
        <v>62</v>
      </c>
      <c r="G290" s="270" t="s">
        <v>522</v>
      </c>
      <c r="H290" s="298">
        <v>5.5</v>
      </c>
      <c r="I290" s="292">
        <v>7.5</v>
      </c>
      <c r="J290" s="286"/>
      <c r="K290" s="286"/>
      <c r="L290" s="286"/>
      <c r="M290" s="286"/>
      <c r="N290" s="286"/>
      <c r="O290" s="286"/>
      <c r="P290" s="292"/>
      <c r="Q290" s="286"/>
      <c r="R290" s="286"/>
      <c r="S290" s="286"/>
      <c r="T290" s="286"/>
      <c r="U290" s="286"/>
      <c r="V290" s="286"/>
      <c r="W290" s="286"/>
      <c r="X290" s="286"/>
      <c r="Y290" s="286"/>
      <c r="Z290" s="286"/>
      <c r="AA290" s="286"/>
      <c r="AB290" s="286"/>
      <c r="AC290" s="286"/>
      <c r="AD290" s="286"/>
      <c r="AE290" s="286"/>
      <c r="AF290" s="286"/>
      <c r="AG290" s="286"/>
      <c r="AH290" s="286"/>
      <c r="AI290" s="286"/>
      <c r="AJ290" s="286">
        <v>8</v>
      </c>
      <c r="AK290" s="287"/>
      <c r="AL290" s="288"/>
      <c r="AM290" s="287"/>
      <c r="AN290" s="287"/>
      <c r="AO290" s="287"/>
      <c r="AP290" s="286"/>
      <c r="AQ290" s="296"/>
      <c r="AR290" s="286"/>
      <c r="AS290" s="286"/>
      <c r="AT290" s="286"/>
      <c r="AU290" s="286"/>
      <c r="AV290" s="286"/>
      <c r="AW290" s="286"/>
      <c r="AX290" s="286"/>
      <c r="AY290" s="286"/>
      <c r="AZ290" s="286"/>
      <c r="BA290" s="286"/>
      <c r="BB290" s="286"/>
      <c r="BC290" s="286"/>
      <c r="BD290" s="287"/>
      <c r="BE290" s="287"/>
      <c r="BF290" s="287"/>
      <c r="BG290" s="287"/>
      <c r="BH290" s="287"/>
      <c r="BI290" s="287"/>
      <c r="BJ290" s="287"/>
      <c r="BK290" s="287"/>
      <c r="BL290" s="287"/>
      <c r="BM290" s="287"/>
      <c r="BN290" s="287"/>
      <c r="BO290" s="287"/>
      <c r="BP290" s="287"/>
      <c r="BQ290" s="287"/>
      <c r="BR290" s="287"/>
      <c r="BS290" s="287"/>
      <c r="BT290" s="287"/>
      <c r="BU290" s="287"/>
      <c r="BV290" s="287"/>
      <c r="BW290" s="287"/>
      <c r="BX290" s="286"/>
      <c r="BY290" s="289"/>
      <c r="BZ290" s="289"/>
      <c r="CA290" s="289"/>
      <c r="CB290" s="289"/>
      <c r="CC290" s="289"/>
      <c r="CD290" s="289"/>
      <c r="CE290" s="289"/>
      <c r="CF290" s="289"/>
      <c r="CG290" s="287"/>
      <c r="CH290" s="287"/>
      <c r="CI290" s="287"/>
      <c r="CJ290" s="287"/>
      <c r="CK290" s="287"/>
      <c r="CL290" s="287"/>
      <c r="CM290" s="287"/>
      <c r="CN290" s="287"/>
      <c r="CO290" s="287"/>
      <c r="CP290" s="287"/>
      <c r="CQ290" s="287">
        <v>7.5</v>
      </c>
      <c r="CR290" s="287"/>
      <c r="CS290" s="296">
        <v>7.5</v>
      </c>
      <c r="CT290" s="6"/>
      <c r="CU290" s="6"/>
      <c r="CV290" s="6"/>
      <c r="CW290" s="6"/>
      <c r="CX290" s="6"/>
      <c r="CY290" s="6"/>
      <c r="CZ290" s="6"/>
      <c r="DA290" s="343">
        <f t="shared" si="10"/>
        <v>5.5</v>
      </c>
    </row>
    <row r="291" spans="1:105" ht="20" customHeight="1" x14ac:dyDescent="0.35">
      <c r="A291" s="290"/>
      <c r="B291" s="270" t="s">
        <v>883</v>
      </c>
      <c r="C291" s="270" t="s">
        <v>641</v>
      </c>
      <c r="D291" s="297" t="s">
        <v>630</v>
      </c>
      <c r="E291" s="270" t="s">
        <v>34</v>
      </c>
      <c r="F291" s="270" t="s">
        <v>32</v>
      </c>
      <c r="G291" s="270" t="s">
        <v>39</v>
      </c>
      <c r="H291" s="298">
        <v>3.8</v>
      </c>
      <c r="I291" s="292">
        <v>6</v>
      </c>
      <c r="J291" s="292">
        <v>6.5</v>
      </c>
      <c r="K291" s="286"/>
      <c r="L291" s="286"/>
      <c r="M291" s="286"/>
      <c r="N291" s="286"/>
      <c r="O291" s="286"/>
      <c r="P291" s="292">
        <v>7</v>
      </c>
      <c r="Q291" s="286"/>
      <c r="R291" s="286"/>
      <c r="S291" s="286"/>
      <c r="T291" s="286">
        <v>6.5</v>
      </c>
      <c r="U291" s="286"/>
      <c r="V291" s="286"/>
      <c r="W291" s="286"/>
      <c r="X291" s="286"/>
      <c r="Y291" s="286"/>
      <c r="Z291" s="286"/>
      <c r="AA291" s="286"/>
      <c r="AB291" s="286"/>
      <c r="AC291" s="286"/>
      <c r="AD291" s="286"/>
      <c r="AE291" s="286"/>
      <c r="AF291" s="286"/>
      <c r="AG291" s="286">
        <v>7</v>
      </c>
      <c r="AH291" s="286"/>
      <c r="AI291" s="286"/>
      <c r="AJ291" s="286"/>
      <c r="AK291" s="295">
        <v>7</v>
      </c>
      <c r="AL291" s="288"/>
      <c r="AM291" s="287"/>
      <c r="AN291" s="287"/>
      <c r="AO291" s="287"/>
      <c r="AP291" s="286"/>
      <c r="AQ291" s="296">
        <v>7</v>
      </c>
      <c r="AR291" s="286"/>
      <c r="AS291" s="286"/>
      <c r="AT291" s="286">
        <v>6.5</v>
      </c>
      <c r="AU291" s="286"/>
      <c r="AV291" s="286"/>
      <c r="AW291" s="286"/>
      <c r="AX291" s="286"/>
      <c r="AY291" s="286"/>
      <c r="AZ291" s="286">
        <v>6.5</v>
      </c>
      <c r="BA291" s="286"/>
      <c r="BB291" s="286"/>
      <c r="BC291" s="286"/>
      <c r="BD291" s="287"/>
      <c r="BE291" s="287"/>
      <c r="BF291" s="287"/>
      <c r="BG291" s="288">
        <v>6.5</v>
      </c>
      <c r="BH291" s="287"/>
      <c r="BI291" s="287"/>
      <c r="BJ291" s="287"/>
      <c r="BK291" s="287"/>
      <c r="BL291" s="287"/>
      <c r="BM291" s="287"/>
      <c r="BN291" s="287"/>
      <c r="BO291" s="287"/>
      <c r="BP291" s="287"/>
      <c r="BQ291" s="287"/>
      <c r="BR291" s="287"/>
      <c r="BS291" s="287"/>
      <c r="BT291" s="287"/>
      <c r="BU291" s="287"/>
      <c r="BV291" s="287"/>
      <c r="BW291" s="287"/>
      <c r="BX291" s="286"/>
      <c r="BY291" s="289"/>
      <c r="BZ291" s="289"/>
      <c r="CA291" s="289"/>
      <c r="CB291" s="289"/>
      <c r="CC291" s="289"/>
      <c r="CD291" s="289"/>
      <c r="CE291" s="289"/>
      <c r="CF291" s="289"/>
      <c r="CG291" s="287"/>
      <c r="CH291" s="287"/>
      <c r="CI291" s="287"/>
      <c r="CJ291" s="287"/>
      <c r="CK291" s="287"/>
      <c r="CL291" s="287">
        <v>10</v>
      </c>
      <c r="CM291" s="287"/>
      <c r="CN291" s="287"/>
      <c r="CO291" s="287"/>
      <c r="CP291" s="287"/>
      <c r="CQ291" s="287">
        <v>6</v>
      </c>
      <c r="CR291" s="287">
        <v>10.5</v>
      </c>
      <c r="CS291" s="296">
        <v>6</v>
      </c>
      <c r="CT291" s="6"/>
      <c r="CU291" s="6"/>
      <c r="CV291" s="6"/>
      <c r="CW291" s="6"/>
      <c r="CX291" s="6"/>
      <c r="CY291" s="6"/>
      <c r="CZ291" s="6"/>
      <c r="DA291" s="343">
        <f t="shared" si="10"/>
        <v>3.8</v>
      </c>
    </row>
    <row r="292" spans="1:105" ht="20" customHeight="1" x14ac:dyDescent="0.35">
      <c r="A292" s="290"/>
      <c r="B292" s="270" t="s">
        <v>1244</v>
      </c>
      <c r="C292" s="270" t="s">
        <v>641</v>
      </c>
      <c r="D292" s="297" t="s">
        <v>630</v>
      </c>
      <c r="E292" s="270" t="s">
        <v>34</v>
      </c>
      <c r="F292" s="270" t="s">
        <v>599</v>
      </c>
      <c r="G292" s="270"/>
      <c r="H292" s="298">
        <v>1.9</v>
      </c>
      <c r="I292" s="292"/>
      <c r="J292" s="286"/>
      <c r="K292" s="286"/>
      <c r="L292" s="286"/>
      <c r="M292" s="286"/>
      <c r="N292" s="286"/>
      <c r="O292" s="286"/>
      <c r="P292" s="292"/>
      <c r="Q292" s="286"/>
      <c r="R292" s="286"/>
      <c r="S292" s="286"/>
      <c r="T292" s="286"/>
      <c r="U292" s="286"/>
      <c r="V292" s="286"/>
      <c r="W292" s="286"/>
      <c r="X292" s="286"/>
      <c r="Y292" s="286"/>
      <c r="Z292" s="286"/>
      <c r="AA292" s="286"/>
      <c r="AB292" s="286"/>
      <c r="AC292" s="286"/>
      <c r="AD292" s="286"/>
      <c r="AE292" s="286"/>
      <c r="AF292" s="286"/>
      <c r="AG292" s="286"/>
      <c r="AH292" s="286"/>
      <c r="AI292" s="286"/>
      <c r="AJ292" s="286"/>
      <c r="AK292" s="287"/>
      <c r="AL292" s="288"/>
      <c r="AM292" s="287"/>
      <c r="AN292" s="287"/>
      <c r="AO292" s="287"/>
      <c r="AP292" s="286"/>
      <c r="AQ292" s="296"/>
      <c r="AR292" s="286"/>
      <c r="AS292" s="286"/>
      <c r="AT292" s="286"/>
      <c r="AU292" s="286"/>
      <c r="AV292" s="286"/>
      <c r="AW292" s="286"/>
      <c r="AX292" s="286"/>
      <c r="AY292" s="286"/>
      <c r="AZ292" s="286"/>
      <c r="BA292" s="286"/>
      <c r="BB292" s="286"/>
      <c r="BC292" s="286"/>
      <c r="BD292" s="287"/>
      <c r="BE292" s="287"/>
      <c r="BF292" s="287"/>
      <c r="BG292" s="287"/>
      <c r="BH292" s="287"/>
      <c r="BI292" s="287"/>
      <c r="BJ292" s="287"/>
      <c r="BK292" s="287"/>
      <c r="BL292" s="287"/>
      <c r="BM292" s="287"/>
      <c r="BN292" s="287"/>
      <c r="BO292" s="287"/>
      <c r="BP292" s="287"/>
      <c r="BQ292" s="287"/>
      <c r="BR292" s="287"/>
      <c r="BS292" s="287"/>
      <c r="BT292" s="287"/>
      <c r="BU292" s="287"/>
      <c r="BV292" s="287"/>
      <c r="BW292" s="287"/>
      <c r="BX292" s="286"/>
      <c r="BY292" s="289"/>
      <c r="BZ292" s="289"/>
      <c r="CA292" s="289"/>
      <c r="CB292" s="289"/>
      <c r="CC292" s="289"/>
      <c r="CD292" s="289"/>
      <c r="CE292" s="289"/>
      <c r="CF292" s="289"/>
      <c r="CG292" s="287"/>
      <c r="CH292" s="287"/>
      <c r="CI292" s="287"/>
      <c r="CJ292" s="287"/>
      <c r="CK292" s="287"/>
      <c r="CL292" s="287"/>
      <c r="CM292" s="287"/>
      <c r="CN292" s="287"/>
      <c r="CO292" s="287"/>
      <c r="CP292" s="287"/>
      <c r="CQ292" s="287"/>
      <c r="CR292" s="287"/>
      <c r="CS292" s="319">
        <v>5</v>
      </c>
      <c r="CT292" s="6"/>
      <c r="CU292" s="6"/>
      <c r="CV292" s="6"/>
      <c r="CW292" s="6"/>
      <c r="CX292" s="6"/>
      <c r="CY292" s="6"/>
      <c r="CZ292" s="6"/>
      <c r="DA292" s="343">
        <f t="shared" si="10"/>
        <v>1.9</v>
      </c>
    </row>
    <row r="293" spans="1:105" ht="20" customHeight="1" x14ac:dyDescent="0.35">
      <c r="A293" s="301"/>
      <c r="B293" s="270" t="s">
        <v>884</v>
      </c>
      <c r="C293" s="270" t="s">
        <v>418</v>
      </c>
      <c r="D293" s="270" t="s">
        <v>1078</v>
      </c>
      <c r="E293" s="270" t="s">
        <v>137</v>
      </c>
      <c r="F293" s="270" t="s">
        <v>93</v>
      </c>
      <c r="G293" s="270" t="s">
        <v>91</v>
      </c>
      <c r="H293" s="298">
        <f>74/24</f>
        <v>3.0833333333333335</v>
      </c>
      <c r="I293" s="286">
        <v>5</v>
      </c>
      <c r="J293" s="292">
        <v>4</v>
      </c>
      <c r="K293" s="286"/>
      <c r="L293" s="286"/>
      <c r="M293" s="286"/>
      <c r="N293" s="286"/>
      <c r="O293" s="286">
        <v>4</v>
      </c>
      <c r="P293" s="292">
        <v>4</v>
      </c>
      <c r="Q293" s="286">
        <v>0</v>
      </c>
      <c r="R293" s="286"/>
      <c r="S293" s="286"/>
      <c r="T293" s="286">
        <v>4</v>
      </c>
      <c r="U293" s="286"/>
      <c r="V293" s="294"/>
      <c r="W293" s="286"/>
      <c r="X293" s="286"/>
      <c r="Y293" s="286"/>
      <c r="Z293" s="286"/>
      <c r="AA293" s="286"/>
      <c r="AB293" s="286"/>
      <c r="AC293" s="286"/>
      <c r="AD293" s="286"/>
      <c r="AE293" s="286"/>
      <c r="AF293" s="286"/>
      <c r="AG293" s="286"/>
      <c r="AH293" s="286"/>
      <c r="AI293" s="286"/>
      <c r="AJ293" s="286"/>
      <c r="AK293" s="295">
        <v>5</v>
      </c>
      <c r="AL293" s="288"/>
      <c r="AM293" s="287"/>
      <c r="AN293" s="287"/>
      <c r="AO293" s="287"/>
      <c r="AP293" s="286"/>
      <c r="AQ293" s="296"/>
      <c r="AR293" s="286"/>
      <c r="AS293" s="286"/>
      <c r="AT293" s="286"/>
      <c r="AU293" s="286"/>
      <c r="AV293" s="286"/>
      <c r="AW293" s="286"/>
      <c r="AX293" s="286"/>
      <c r="AY293" s="286"/>
      <c r="AZ293" s="286"/>
      <c r="BA293" s="286"/>
      <c r="BB293" s="286"/>
      <c r="BC293" s="286"/>
      <c r="BD293" s="287"/>
      <c r="BE293" s="287"/>
      <c r="BF293" s="287"/>
      <c r="BG293" s="288">
        <v>5</v>
      </c>
      <c r="BH293" s="287"/>
      <c r="BI293" s="287"/>
      <c r="BJ293" s="287">
        <v>5</v>
      </c>
      <c r="BK293" s="287"/>
      <c r="BL293" s="287"/>
      <c r="BM293" s="287"/>
      <c r="BN293" s="287"/>
      <c r="BO293" s="287"/>
      <c r="BP293" s="287"/>
      <c r="BQ293" s="287"/>
      <c r="BR293" s="287"/>
      <c r="BS293" s="287"/>
      <c r="BT293" s="287"/>
      <c r="BU293" s="287">
        <v>4.5</v>
      </c>
      <c r="BV293" s="287"/>
      <c r="BW293" s="287"/>
      <c r="BX293" s="286"/>
      <c r="BY293" s="289"/>
      <c r="BZ293" s="289">
        <v>4.5</v>
      </c>
      <c r="CA293" s="289"/>
      <c r="CB293" s="289"/>
      <c r="CC293" s="289"/>
      <c r="CD293" s="289"/>
      <c r="CE293" s="289"/>
      <c r="CF293" s="289"/>
      <c r="CG293" s="287"/>
      <c r="CH293" s="287"/>
      <c r="CI293" s="287"/>
      <c r="CJ293" s="287"/>
      <c r="CK293" s="287"/>
      <c r="CL293" s="287">
        <v>5.5</v>
      </c>
      <c r="CM293" s="287"/>
      <c r="CN293" s="287"/>
      <c r="CO293" s="287"/>
      <c r="CP293" s="287"/>
      <c r="CQ293" s="287">
        <v>5</v>
      </c>
      <c r="CR293" s="287"/>
      <c r="CS293" s="296">
        <v>5</v>
      </c>
      <c r="CT293" s="6"/>
      <c r="CU293" s="6"/>
      <c r="CV293" s="6"/>
      <c r="CW293" s="6"/>
      <c r="CX293" s="6"/>
      <c r="CY293" s="6"/>
      <c r="CZ293" s="6"/>
      <c r="DA293" s="343">
        <f t="shared" si="10"/>
        <v>3.0833333333333335</v>
      </c>
    </row>
    <row r="294" spans="1:105" ht="20" customHeight="1" x14ac:dyDescent="0.35">
      <c r="A294" s="290" t="s">
        <v>644</v>
      </c>
      <c r="B294" s="270" t="s">
        <v>885</v>
      </c>
      <c r="C294" s="270" t="s">
        <v>211</v>
      </c>
      <c r="D294" s="297" t="s">
        <v>623</v>
      </c>
      <c r="E294" s="270" t="s">
        <v>645</v>
      </c>
      <c r="F294" s="270" t="s">
        <v>328</v>
      </c>
      <c r="G294" s="270"/>
      <c r="H294" s="298">
        <f>42/6*1.08</f>
        <v>7.5600000000000005</v>
      </c>
      <c r="I294" s="292">
        <v>10</v>
      </c>
      <c r="J294" s="286"/>
      <c r="K294" s="286"/>
      <c r="L294" s="286"/>
      <c r="M294" s="286"/>
      <c r="N294" s="286"/>
      <c r="O294" s="286"/>
      <c r="P294" s="286"/>
      <c r="Q294" s="286">
        <v>9</v>
      </c>
      <c r="R294" s="286"/>
      <c r="S294" s="286"/>
      <c r="T294" s="286"/>
      <c r="U294" s="286"/>
      <c r="V294" s="286"/>
      <c r="W294" s="286"/>
      <c r="X294" s="286"/>
      <c r="Y294" s="286"/>
      <c r="Z294" s="286"/>
      <c r="AA294" s="286"/>
      <c r="AB294" s="286"/>
      <c r="AC294" s="286"/>
      <c r="AD294" s="286"/>
      <c r="AE294" s="286">
        <v>10</v>
      </c>
      <c r="AF294" s="286"/>
      <c r="AG294" s="286"/>
      <c r="AH294" s="286"/>
      <c r="AI294" s="286"/>
      <c r="AJ294" s="286"/>
      <c r="AK294" s="287"/>
      <c r="AL294" s="288"/>
      <c r="AM294" s="287"/>
      <c r="AN294" s="287"/>
      <c r="AO294" s="287"/>
      <c r="AP294" s="286"/>
      <c r="AQ294" s="296"/>
      <c r="AR294" s="286"/>
      <c r="AS294" s="286"/>
      <c r="AT294" s="286"/>
      <c r="AU294" s="286"/>
      <c r="AV294" s="286"/>
      <c r="AW294" s="286"/>
      <c r="AX294" s="286"/>
      <c r="AY294" s="286"/>
      <c r="AZ294" s="286"/>
      <c r="BA294" s="286"/>
      <c r="BB294" s="286"/>
      <c r="BC294" s="286"/>
      <c r="BD294" s="287"/>
      <c r="BE294" s="287"/>
      <c r="BF294" s="287"/>
      <c r="BG294" s="288">
        <v>9.5</v>
      </c>
      <c r="BH294" s="287"/>
      <c r="BI294" s="287"/>
      <c r="BJ294" s="287"/>
      <c r="BK294" s="287"/>
      <c r="BL294" s="287"/>
      <c r="BM294" s="287"/>
      <c r="BN294" s="287"/>
      <c r="BO294" s="287"/>
      <c r="BP294" s="287"/>
      <c r="BQ294" s="287">
        <v>9</v>
      </c>
      <c r="BR294" s="287"/>
      <c r="BS294" s="287">
        <f>9.9/110*100</f>
        <v>9</v>
      </c>
      <c r="BT294" s="287"/>
      <c r="BU294" s="287">
        <v>9.5</v>
      </c>
      <c r="BV294" s="287"/>
      <c r="BW294" s="287"/>
      <c r="BX294" s="286"/>
      <c r="BY294" s="289"/>
      <c r="BZ294" s="289"/>
      <c r="CA294" s="289"/>
      <c r="CB294" s="289"/>
      <c r="CC294" s="289"/>
      <c r="CD294" s="289"/>
      <c r="CE294" s="289"/>
      <c r="CF294" s="289"/>
      <c r="CG294" s="287"/>
      <c r="CH294" s="287"/>
      <c r="CI294" s="287"/>
      <c r="CJ294" s="287"/>
      <c r="CK294" s="287"/>
      <c r="CL294" s="287"/>
      <c r="CM294" s="287"/>
      <c r="CN294" s="287"/>
      <c r="CO294" s="287"/>
      <c r="CP294" s="287"/>
      <c r="CQ294" s="287">
        <v>10</v>
      </c>
      <c r="CR294" s="287"/>
      <c r="CS294" s="296">
        <v>9</v>
      </c>
      <c r="CT294" s="6"/>
      <c r="CU294" s="6"/>
      <c r="CV294" s="6"/>
      <c r="CW294" s="6"/>
      <c r="CX294" s="6"/>
      <c r="CY294" s="6"/>
      <c r="CZ294" s="6"/>
      <c r="DA294" s="343">
        <f t="shared" si="10"/>
        <v>7.5600000000000005</v>
      </c>
    </row>
    <row r="295" spans="1:105" ht="20" customHeight="1" x14ac:dyDescent="0.35">
      <c r="A295" s="290"/>
      <c r="B295" s="270" t="s">
        <v>1139</v>
      </c>
      <c r="C295" s="270" t="s">
        <v>211</v>
      </c>
      <c r="D295" s="297" t="s">
        <v>623</v>
      </c>
      <c r="E295" s="270" t="s">
        <v>1140</v>
      </c>
      <c r="F295" s="270" t="s">
        <v>328</v>
      </c>
      <c r="G295" s="270"/>
      <c r="H295" s="298">
        <v>7.2</v>
      </c>
      <c r="I295" s="292"/>
      <c r="J295" s="286"/>
      <c r="K295" s="286"/>
      <c r="L295" s="286"/>
      <c r="M295" s="286"/>
      <c r="N295" s="286"/>
      <c r="O295" s="286"/>
      <c r="P295" s="286"/>
      <c r="Q295" s="286"/>
      <c r="R295" s="286"/>
      <c r="S295" s="286"/>
      <c r="T295" s="286"/>
      <c r="U295" s="286"/>
      <c r="V295" s="286"/>
      <c r="W295" s="286"/>
      <c r="X295" s="286"/>
      <c r="Y295" s="286"/>
      <c r="Z295" s="286"/>
      <c r="AA295" s="286"/>
      <c r="AB295" s="286"/>
      <c r="AC295" s="286"/>
      <c r="AD295" s="286"/>
      <c r="AE295" s="286"/>
      <c r="AF295" s="286"/>
      <c r="AG295" s="286"/>
      <c r="AH295" s="286"/>
      <c r="AI295" s="286"/>
      <c r="AJ295" s="286"/>
      <c r="AK295" s="287"/>
      <c r="AL295" s="288"/>
      <c r="AM295" s="287"/>
      <c r="AN295" s="287"/>
      <c r="AO295" s="287"/>
      <c r="AP295" s="286"/>
      <c r="AQ295" s="296"/>
      <c r="AR295" s="286"/>
      <c r="AS295" s="286"/>
      <c r="AT295" s="286"/>
      <c r="AU295" s="286"/>
      <c r="AV295" s="286"/>
      <c r="AW295" s="286"/>
      <c r="AX295" s="286"/>
      <c r="AY295" s="286"/>
      <c r="AZ295" s="286"/>
      <c r="BA295" s="286"/>
      <c r="BB295" s="286"/>
      <c r="BC295" s="286"/>
      <c r="BD295" s="287"/>
      <c r="BE295" s="287"/>
      <c r="BF295" s="287"/>
      <c r="BG295" s="288">
        <v>10</v>
      </c>
      <c r="BH295" s="287"/>
      <c r="BI295" s="287"/>
      <c r="BJ295" s="287"/>
      <c r="BK295" s="287"/>
      <c r="BL295" s="287"/>
      <c r="BM295" s="287"/>
      <c r="BN295" s="287"/>
      <c r="BO295" s="287"/>
      <c r="BP295" s="287"/>
      <c r="BQ295" s="287"/>
      <c r="BR295" s="287"/>
      <c r="BS295" s="287"/>
      <c r="BT295" s="287"/>
      <c r="BU295" s="287">
        <v>9.5</v>
      </c>
      <c r="BV295" s="287"/>
      <c r="BW295" s="287"/>
      <c r="BX295" s="286"/>
      <c r="BY295" s="289"/>
      <c r="BZ295" s="289"/>
      <c r="CA295" s="289"/>
      <c r="CB295" s="289"/>
      <c r="CC295" s="289"/>
      <c r="CD295" s="289"/>
      <c r="CE295" s="289"/>
      <c r="CF295" s="289"/>
      <c r="CG295" s="287"/>
      <c r="CH295" s="287"/>
      <c r="CI295" s="287"/>
      <c r="CJ295" s="287"/>
      <c r="CK295" s="287"/>
      <c r="CL295" s="287"/>
      <c r="CM295" s="287"/>
      <c r="CN295" s="287"/>
      <c r="CO295" s="287"/>
      <c r="CP295" s="287"/>
      <c r="CQ295" s="287"/>
      <c r="CR295" s="287"/>
      <c r="CS295" s="302">
        <v>0.8</v>
      </c>
      <c r="CT295" s="6"/>
      <c r="CU295" s="6"/>
      <c r="CV295" s="6"/>
      <c r="CW295" s="6"/>
      <c r="CX295" s="6"/>
      <c r="CY295" s="6"/>
      <c r="CZ295" s="6"/>
      <c r="DA295" s="343">
        <f t="shared" si="10"/>
        <v>7.2</v>
      </c>
    </row>
    <row r="296" spans="1:105" ht="20" customHeight="1" x14ac:dyDescent="0.35">
      <c r="A296" s="290"/>
      <c r="B296" s="270" t="s">
        <v>2103</v>
      </c>
      <c r="C296" s="270" t="s">
        <v>211</v>
      </c>
      <c r="D296" s="297" t="s">
        <v>623</v>
      </c>
      <c r="E296" s="270" t="s">
        <v>2104</v>
      </c>
      <c r="F296" s="270" t="s">
        <v>328</v>
      </c>
      <c r="G296" s="270"/>
      <c r="H296" s="298"/>
      <c r="I296" s="292"/>
      <c r="J296" s="286"/>
      <c r="K296" s="286"/>
      <c r="L296" s="286"/>
      <c r="M296" s="286"/>
      <c r="N296" s="286"/>
      <c r="O296" s="286"/>
      <c r="P296" s="286"/>
      <c r="Q296" s="286"/>
      <c r="R296" s="286"/>
      <c r="S296" s="286"/>
      <c r="T296" s="286"/>
      <c r="U296" s="286"/>
      <c r="V296" s="286"/>
      <c r="W296" s="286"/>
      <c r="X296" s="286"/>
      <c r="Y296" s="286"/>
      <c r="Z296" s="286"/>
      <c r="AA296" s="286"/>
      <c r="AB296" s="286"/>
      <c r="AC296" s="286"/>
      <c r="AD296" s="286"/>
      <c r="AE296" s="286"/>
      <c r="AF296" s="286"/>
      <c r="AG296" s="286"/>
      <c r="AH296" s="286"/>
      <c r="AI296" s="286"/>
      <c r="AJ296" s="286"/>
      <c r="AK296" s="287"/>
      <c r="AL296" s="288"/>
      <c r="AM296" s="287"/>
      <c r="AN296" s="287"/>
      <c r="AO296" s="287"/>
      <c r="AP296" s="286"/>
      <c r="AQ296" s="296">
        <v>9.8000000000000007</v>
      </c>
      <c r="AR296" s="286"/>
      <c r="AS296" s="286"/>
      <c r="AT296" s="286"/>
      <c r="AU296" s="286"/>
      <c r="AV296" s="286"/>
      <c r="AW296" s="286"/>
      <c r="AX296" s="286"/>
      <c r="AY296" s="286"/>
      <c r="AZ296" s="286"/>
      <c r="BA296" s="286"/>
      <c r="BB296" s="286"/>
      <c r="BC296" s="286"/>
      <c r="BD296" s="287"/>
      <c r="BE296" s="287"/>
      <c r="BF296" s="287"/>
      <c r="BG296" s="288"/>
      <c r="BH296" s="287"/>
      <c r="BI296" s="287"/>
      <c r="BJ296" s="287"/>
      <c r="BK296" s="287"/>
      <c r="BL296" s="287"/>
      <c r="BM296" s="287"/>
      <c r="BN296" s="287"/>
      <c r="BO296" s="287"/>
      <c r="BP296" s="287"/>
      <c r="BQ296" s="287"/>
      <c r="BR296" s="287"/>
      <c r="BS296" s="287"/>
      <c r="BT296" s="287"/>
      <c r="BU296" s="287"/>
      <c r="BV296" s="287"/>
      <c r="BW296" s="287"/>
      <c r="BX296" s="286"/>
      <c r="BY296" s="289"/>
      <c r="BZ296" s="289"/>
      <c r="CA296" s="289"/>
      <c r="CB296" s="289"/>
      <c r="CC296" s="289"/>
      <c r="CD296" s="289"/>
      <c r="CE296" s="289"/>
      <c r="CF296" s="289"/>
      <c r="CG296" s="287"/>
      <c r="CH296" s="287"/>
      <c r="CI296" s="287"/>
      <c r="CJ296" s="287"/>
      <c r="CK296" s="287"/>
      <c r="CL296" s="287"/>
      <c r="CM296" s="287"/>
      <c r="CN296" s="287"/>
      <c r="CO296" s="287"/>
      <c r="CP296" s="287"/>
      <c r="CQ296" s="287"/>
      <c r="CR296" s="287"/>
      <c r="CS296" s="302"/>
      <c r="CT296" s="6"/>
      <c r="CU296" s="6"/>
      <c r="CV296" s="6"/>
      <c r="CW296" s="6"/>
      <c r="CX296" s="6"/>
      <c r="CY296" s="6"/>
      <c r="CZ296" s="6"/>
      <c r="DA296" s="343"/>
    </row>
    <row r="297" spans="1:105" ht="20" customHeight="1" x14ac:dyDescent="0.35">
      <c r="A297" s="290"/>
      <c r="B297" s="270" t="s">
        <v>886</v>
      </c>
      <c r="C297" s="270" t="s">
        <v>1619</v>
      </c>
      <c r="D297" s="297" t="s">
        <v>623</v>
      </c>
      <c r="E297" s="270"/>
      <c r="F297" s="270" t="s">
        <v>328</v>
      </c>
      <c r="G297" s="270"/>
      <c r="H297" s="298">
        <v>7.2</v>
      </c>
      <c r="I297" s="292">
        <v>9.5</v>
      </c>
      <c r="J297" s="286"/>
      <c r="K297" s="286"/>
      <c r="L297" s="286"/>
      <c r="M297" s="286"/>
      <c r="N297" s="286"/>
      <c r="O297" s="286"/>
      <c r="P297" s="286"/>
      <c r="Q297" s="286"/>
      <c r="R297" s="286"/>
      <c r="S297" s="286"/>
      <c r="T297" s="286"/>
      <c r="U297" s="286"/>
      <c r="V297" s="286"/>
      <c r="W297" s="286"/>
      <c r="X297" s="286"/>
      <c r="Y297" s="286"/>
      <c r="Z297" s="286"/>
      <c r="AA297" s="286"/>
      <c r="AB297" s="286"/>
      <c r="AC297" s="286"/>
      <c r="AD297" s="286"/>
      <c r="AE297" s="286"/>
      <c r="AF297" s="286"/>
      <c r="AG297" s="286"/>
      <c r="AH297" s="286"/>
      <c r="AI297" s="286"/>
      <c r="AJ297" s="286"/>
      <c r="AK297" s="287"/>
      <c r="AL297" s="288"/>
      <c r="AM297" s="287"/>
      <c r="AN297" s="287"/>
      <c r="AO297" s="287"/>
      <c r="AP297" s="286"/>
      <c r="AQ297" s="296"/>
      <c r="AR297" s="286"/>
      <c r="AS297" s="286"/>
      <c r="AT297" s="286"/>
      <c r="AU297" s="286"/>
      <c r="AV297" s="286"/>
      <c r="AW297" s="286"/>
      <c r="AX297" s="286"/>
      <c r="AY297" s="286"/>
      <c r="AZ297" s="286"/>
      <c r="BA297" s="286"/>
      <c r="BB297" s="286"/>
      <c r="BC297" s="286"/>
      <c r="BD297" s="287"/>
      <c r="BE297" s="287"/>
      <c r="BF297" s="287"/>
      <c r="BG297" s="288">
        <v>10</v>
      </c>
      <c r="BH297" s="287"/>
      <c r="BI297" s="287"/>
      <c r="BJ297" s="287"/>
      <c r="BK297" s="287"/>
      <c r="BL297" s="287"/>
      <c r="BM297" s="287"/>
      <c r="BN297" s="287"/>
      <c r="BO297" s="287"/>
      <c r="BP297" s="287"/>
      <c r="BQ297" s="287">
        <v>10</v>
      </c>
      <c r="BR297" s="287"/>
      <c r="BS297" s="287"/>
      <c r="BT297" s="287"/>
      <c r="BU297" s="287"/>
      <c r="BV297" s="287"/>
      <c r="BW297" s="287"/>
      <c r="BX297" s="286"/>
      <c r="BY297" s="289"/>
      <c r="BZ297" s="289"/>
      <c r="CA297" s="289"/>
      <c r="CB297" s="289"/>
      <c r="CC297" s="289"/>
      <c r="CD297" s="289"/>
      <c r="CE297" s="289"/>
      <c r="CF297" s="289"/>
      <c r="CG297" s="287"/>
      <c r="CH297" s="287"/>
      <c r="CI297" s="287"/>
      <c r="CJ297" s="287"/>
      <c r="CK297" s="287"/>
      <c r="CL297" s="287"/>
      <c r="CM297" s="287"/>
      <c r="CN297" s="287"/>
      <c r="CO297" s="287"/>
      <c r="CP297" s="287"/>
      <c r="CQ297" s="287"/>
      <c r="CR297" s="287"/>
      <c r="CS297" s="296">
        <v>9.5</v>
      </c>
      <c r="CT297" s="6"/>
      <c r="CU297" s="6"/>
      <c r="CV297" s="6"/>
      <c r="CW297" s="6"/>
      <c r="CX297" s="6"/>
      <c r="CY297" s="6"/>
      <c r="CZ297" s="6"/>
      <c r="DA297" s="343">
        <f t="shared" si="10"/>
        <v>7.2</v>
      </c>
    </row>
    <row r="298" spans="1:105" ht="20" customHeight="1" x14ac:dyDescent="0.35">
      <c r="A298" s="290">
        <v>520716</v>
      </c>
      <c r="B298" s="270" t="s">
        <v>887</v>
      </c>
      <c r="C298" s="270" t="s">
        <v>250</v>
      </c>
      <c r="D298" s="297" t="s">
        <v>632</v>
      </c>
      <c r="E298" s="270" t="s">
        <v>1502</v>
      </c>
      <c r="F298" s="270" t="s">
        <v>78</v>
      </c>
      <c r="G298" s="270" t="s">
        <v>31</v>
      </c>
      <c r="H298" s="298">
        <v>0.32</v>
      </c>
      <c r="I298" s="292">
        <v>0.8</v>
      </c>
      <c r="J298" s="286"/>
      <c r="K298" s="286"/>
      <c r="L298" s="286"/>
      <c r="M298" s="286"/>
      <c r="N298" s="286"/>
      <c r="O298" s="286"/>
      <c r="P298" s="292">
        <v>0.8</v>
      </c>
      <c r="Q298" s="286"/>
      <c r="R298" s="286"/>
      <c r="S298" s="286">
        <v>0.9</v>
      </c>
      <c r="T298" s="286"/>
      <c r="U298" s="286"/>
      <c r="V298" s="294"/>
      <c r="W298" s="286"/>
      <c r="X298" s="286"/>
      <c r="Y298" s="286"/>
      <c r="Z298" s="286"/>
      <c r="AA298" s="286"/>
      <c r="AB298" s="286"/>
      <c r="AC298" s="286"/>
      <c r="AD298" s="286"/>
      <c r="AE298" s="286"/>
      <c r="AF298" s="286"/>
      <c r="AG298" s="286"/>
      <c r="AH298" s="286"/>
      <c r="AI298" s="286"/>
      <c r="AJ298" s="286"/>
      <c r="AK298" s="295">
        <v>0.8</v>
      </c>
      <c r="AL298" s="288"/>
      <c r="AM298" s="287"/>
      <c r="AN298" s="287"/>
      <c r="AO298" s="287"/>
      <c r="AP298" s="286"/>
      <c r="AQ298" s="296">
        <v>0.8</v>
      </c>
      <c r="AR298" s="286"/>
      <c r="AS298" s="286"/>
      <c r="AT298" s="286"/>
      <c r="AU298" s="286"/>
      <c r="AV298" s="286"/>
      <c r="AW298" s="286"/>
      <c r="AX298" s="286"/>
      <c r="AY298" s="286"/>
      <c r="AZ298" s="286"/>
      <c r="BA298" s="286"/>
      <c r="BB298" s="286"/>
      <c r="BC298" s="286"/>
      <c r="BD298" s="287"/>
      <c r="BE298" s="287"/>
      <c r="BF298" s="287"/>
      <c r="BG298" s="288">
        <v>0.8</v>
      </c>
      <c r="BH298" s="287"/>
      <c r="BI298" s="287"/>
      <c r="BJ298" s="287"/>
      <c r="BK298" s="287"/>
      <c r="BL298" s="287"/>
      <c r="BM298" s="287"/>
      <c r="BN298" s="287"/>
      <c r="BO298" s="287"/>
      <c r="BP298" s="287"/>
      <c r="BQ298" s="287"/>
      <c r="BR298" s="287"/>
      <c r="BS298" s="287"/>
      <c r="BT298" s="287"/>
      <c r="BU298" s="287"/>
      <c r="BV298" s="287"/>
      <c r="BW298" s="287"/>
      <c r="BX298" s="286"/>
      <c r="BY298" s="289"/>
      <c r="BZ298" s="289">
        <v>0.8</v>
      </c>
      <c r="CA298" s="289"/>
      <c r="CB298" s="289"/>
      <c r="CC298" s="289"/>
      <c r="CD298" s="289"/>
      <c r="CE298" s="289"/>
      <c r="CF298" s="289"/>
      <c r="CG298" s="287"/>
      <c r="CH298" s="287"/>
      <c r="CI298" s="287"/>
      <c r="CJ298" s="287"/>
      <c r="CK298" s="287"/>
      <c r="CL298" s="287"/>
      <c r="CM298" s="287"/>
      <c r="CN298" s="287"/>
      <c r="CO298" s="287"/>
      <c r="CP298" s="287"/>
      <c r="CQ298" s="287">
        <v>0.8</v>
      </c>
      <c r="CR298" s="287"/>
      <c r="CS298" s="296">
        <v>0.8</v>
      </c>
      <c r="CT298" s="6"/>
      <c r="CU298" s="6"/>
      <c r="CV298" s="6"/>
      <c r="CW298" s="6"/>
      <c r="CX298" s="6"/>
      <c r="CY298" s="6"/>
      <c r="CZ298" s="6"/>
      <c r="DA298" s="343">
        <f t="shared" si="10"/>
        <v>0.32</v>
      </c>
    </row>
    <row r="299" spans="1:105" ht="20" customHeight="1" x14ac:dyDescent="0.35">
      <c r="A299" s="290" t="s">
        <v>2067</v>
      </c>
      <c r="B299" s="270" t="s">
        <v>887</v>
      </c>
      <c r="C299" s="270" t="s">
        <v>250</v>
      </c>
      <c r="D299" s="297" t="s">
        <v>632</v>
      </c>
      <c r="E299" s="270" t="s">
        <v>1502</v>
      </c>
      <c r="F299" s="270" t="s">
        <v>78</v>
      </c>
      <c r="G299" s="270" t="s">
        <v>31</v>
      </c>
      <c r="H299" s="298">
        <v>0.32</v>
      </c>
      <c r="I299" s="292"/>
      <c r="J299" s="286"/>
      <c r="K299" s="286"/>
      <c r="L299" s="286"/>
      <c r="M299" s="286"/>
      <c r="N299" s="286"/>
      <c r="O299" s="286"/>
      <c r="P299" s="292"/>
      <c r="Q299" s="286"/>
      <c r="R299" s="286"/>
      <c r="S299" s="286"/>
      <c r="T299" s="286"/>
      <c r="U299" s="286"/>
      <c r="V299" s="294"/>
      <c r="W299" s="286"/>
      <c r="X299" s="286"/>
      <c r="Y299" s="286"/>
      <c r="Z299" s="286"/>
      <c r="AA299" s="286"/>
      <c r="AB299" s="286"/>
      <c r="AC299" s="286"/>
      <c r="AD299" s="286"/>
      <c r="AE299" s="286"/>
      <c r="AF299" s="286"/>
      <c r="AG299" s="286"/>
      <c r="AH299" s="286"/>
      <c r="AI299" s="286"/>
      <c r="AJ299" s="286"/>
      <c r="AK299" s="295"/>
      <c r="AL299" s="288"/>
      <c r="AM299" s="287"/>
      <c r="AN299" s="287"/>
      <c r="AO299" s="287"/>
      <c r="AP299" s="286"/>
      <c r="AQ299" s="296"/>
      <c r="AR299" s="286"/>
      <c r="AS299" s="286"/>
      <c r="AT299" s="286"/>
      <c r="AU299" s="286"/>
      <c r="AV299" s="286"/>
      <c r="AW299" s="286"/>
      <c r="AX299" s="286"/>
      <c r="AY299" s="286"/>
      <c r="AZ299" s="286"/>
      <c r="BA299" s="286"/>
      <c r="BB299" s="286"/>
      <c r="BC299" s="286"/>
      <c r="BD299" s="287"/>
      <c r="BE299" s="287"/>
      <c r="BF299" s="287"/>
      <c r="BG299" s="288"/>
      <c r="BH299" s="287"/>
      <c r="BI299" s="287"/>
      <c r="BJ299" s="287"/>
      <c r="BK299" s="287"/>
      <c r="BL299" s="287"/>
      <c r="BM299" s="287"/>
      <c r="BN299" s="287"/>
      <c r="BO299" s="287"/>
      <c r="BP299" s="287"/>
      <c r="BQ299" s="287"/>
      <c r="BR299" s="287"/>
      <c r="BS299" s="287"/>
      <c r="BT299" s="287"/>
      <c r="BU299" s="287"/>
      <c r="BV299" s="287"/>
      <c r="BW299" s="287"/>
      <c r="BX299" s="286"/>
      <c r="BY299" s="289"/>
      <c r="BZ299" s="289"/>
      <c r="CA299" s="289"/>
      <c r="CB299" s="289"/>
      <c r="CC299" s="289"/>
      <c r="CD299" s="289"/>
      <c r="CE299" s="289"/>
      <c r="CF299" s="289"/>
      <c r="CG299" s="287"/>
      <c r="CH299" s="287"/>
      <c r="CI299" s="287"/>
      <c r="CJ299" s="287"/>
      <c r="CK299" s="287"/>
      <c r="CL299" s="287"/>
      <c r="CM299" s="287"/>
      <c r="CN299" s="287"/>
      <c r="CO299" s="287"/>
      <c r="CP299" s="287"/>
      <c r="CQ299" s="287">
        <v>0.8</v>
      </c>
      <c r="CR299" s="287"/>
      <c r="CS299" s="296">
        <v>0.8</v>
      </c>
      <c r="CT299" s="6"/>
      <c r="CU299" s="6"/>
      <c r="CV299" s="6"/>
      <c r="CW299" s="6"/>
      <c r="CX299" s="6"/>
      <c r="CY299" s="6"/>
      <c r="CZ299" s="6"/>
      <c r="DA299" s="343">
        <f>H299</f>
        <v>0.32</v>
      </c>
    </row>
    <row r="300" spans="1:105" ht="20" customHeight="1" x14ac:dyDescent="0.35">
      <c r="A300" s="290" t="s">
        <v>89</v>
      </c>
      <c r="B300" s="270" t="s">
        <v>888</v>
      </c>
      <c r="C300" s="270" t="s">
        <v>252</v>
      </c>
      <c r="D300" s="297" t="s">
        <v>632</v>
      </c>
      <c r="E300" s="270" t="s">
        <v>1906</v>
      </c>
      <c r="F300" s="270" t="s">
        <v>328</v>
      </c>
      <c r="G300" s="270" t="s">
        <v>39</v>
      </c>
      <c r="H300" s="298">
        <v>0.86</v>
      </c>
      <c r="I300" s="292">
        <v>1</v>
      </c>
      <c r="J300" s="292">
        <v>1.5</v>
      </c>
      <c r="K300" s="286"/>
      <c r="L300" s="286"/>
      <c r="M300" s="286"/>
      <c r="N300" s="286"/>
      <c r="O300" s="286"/>
      <c r="P300" s="286"/>
      <c r="Q300" s="286"/>
      <c r="R300" s="286">
        <v>1.2</v>
      </c>
      <c r="S300" s="286">
        <v>1.2</v>
      </c>
      <c r="T300" s="286">
        <v>1.5</v>
      </c>
      <c r="U300" s="286"/>
      <c r="V300" s="293"/>
      <c r="W300" s="286"/>
      <c r="X300" s="286"/>
      <c r="Y300" s="286"/>
      <c r="Z300" s="286"/>
      <c r="AA300" s="286"/>
      <c r="AB300" s="286"/>
      <c r="AC300" s="286"/>
      <c r="AD300" s="286"/>
      <c r="AE300" s="286"/>
      <c r="AF300" s="286"/>
      <c r="AG300" s="286"/>
      <c r="AH300" s="286"/>
      <c r="AI300" s="286"/>
      <c r="AJ300" s="286"/>
      <c r="AK300" s="295">
        <v>1</v>
      </c>
      <c r="AL300" s="288"/>
      <c r="AM300" s="287"/>
      <c r="AN300" s="287"/>
      <c r="AO300" s="287"/>
      <c r="AP300" s="286"/>
      <c r="AQ300" s="296">
        <v>1.5</v>
      </c>
      <c r="AR300" s="292">
        <v>1.5</v>
      </c>
      <c r="AS300" s="286"/>
      <c r="AT300" s="286"/>
      <c r="AU300" s="286"/>
      <c r="AV300" s="286"/>
      <c r="AW300" s="286"/>
      <c r="AX300" s="286"/>
      <c r="AY300" s="286"/>
      <c r="AZ300" s="286"/>
      <c r="BA300" s="286"/>
      <c r="BB300" s="286"/>
      <c r="BC300" s="286">
        <v>1.5</v>
      </c>
      <c r="BD300" s="287"/>
      <c r="BE300" s="287"/>
      <c r="BF300" s="287"/>
      <c r="BG300" s="288">
        <v>1.2</v>
      </c>
      <c r="BH300" s="287"/>
      <c r="BI300" s="287"/>
      <c r="BJ300" s="287"/>
      <c r="BK300" s="287"/>
      <c r="BL300" s="287"/>
      <c r="BM300" s="287"/>
      <c r="BN300" s="287"/>
      <c r="BO300" s="287"/>
      <c r="BP300" s="287"/>
      <c r="BQ300" s="287"/>
      <c r="BR300" s="287"/>
      <c r="BS300" s="287"/>
      <c r="BT300" s="287"/>
      <c r="BU300" s="287"/>
      <c r="BV300" s="287"/>
      <c r="BW300" s="287"/>
      <c r="BX300" s="286"/>
      <c r="BY300" s="289"/>
      <c r="BZ300" s="289"/>
      <c r="CA300" s="289"/>
      <c r="CB300" s="289">
        <v>1.1000000000000001</v>
      </c>
      <c r="CC300" s="289"/>
      <c r="CD300" s="289"/>
      <c r="CE300" s="289"/>
      <c r="CF300" s="289"/>
      <c r="CG300" s="287"/>
      <c r="CH300" s="287"/>
      <c r="CI300" s="287"/>
      <c r="CJ300" s="287"/>
      <c r="CK300" s="287"/>
      <c r="CL300" s="287"/>
      <c r="CM300" s="287"/>
      <c r="CN300" s="287"/>
      <c r="CO300" s="287"/>
      <c r="CP300" s="287"/>
      <c r="CQ300" s="287">
        <v>1</v>
      </c>
      <c r="CR300" s="287"/>
      <c r="CS300" s="296">
        <v>1</v>
      </c>
      <c r="CT300" s="6"/>
      <c r="CU300" s="6"/>
      <c r="CV300" s="6"/>
      <c r="CW300" s="6"/>
      <c r="CX300" s="6"/>
      <c r="CY300" s="6"/>
      <c r="CZ300" s="6"/>
      <c r="DA300" s="343">
        <f t="shared" si="10"/>
        <v>0.86</v>
      </c>
    </row>
    <row r="301" spans="1:105" ht="20" customHeight="1" x14ac:dyDescent="0.35">
      <c r="A301" s="290"/>
      <c r="B301" s="270"/>
      <c r="C301" s="270"/>
      <c r="D301" s="270"/>
      <c r="E301" s="270"/>
      <c r="F301" s="270"/>
      <c r="G301" s="270"/>
      <c r="H301" s="298"/>
      <c r="I301" s="292"/>
      <c r="J301" s="292"/>
      <c r="K301" s="286"/>
      <c r="L301" s="286"/>
      <c r="M301" s="286"/>
      <c r="N301" s="286"/>
      <c r="O301" s="286"/>
      <c r="P301" s="286"/>
      <c r="Q301" s="286"/>
      <c r="R301" s="286"/>
      <c r="S301" s="286"/>
      <c r="T301" s="286">
        <v>30</v>
      </c>
      <c r="U301" s="286"/>
      <c r="V301" s="293"/>
      <c r="W301" s="286"/>
      <c r="X301" s="286"/>
      <c r="Y301" s="286"/>
      <c r="Z301" s="286"/>
      <c r="AA301" s="286"/>
      <c r="AB301" s="286"/>
      <c r="AC301" s="286"/>
      <c r="AD301" s="286"/>
      <c r="AE301" s="286"/>
      <c r="AF301" s="286"/>
      <c r="AG301" s="286"/>
      <c r="AH301" s="286"/>
      <c r="AI301" s="286"/>
      <c r="AJ301" s="286"/>
      <c r="AK301" s="287"/>
      <c r="AL301" s="288"/>
      <c r="AM301" s="287"/>
      <c r="AN301" s="287"/>
      <c r="AO301" s="287"/>
      <c r="AP301" s="286"/>
      <c r="AQ301" s="296"/>
      <c r="AR301" s="286"/>
      <c r="AS301" s="286"/>
      <c r="AT301" s="286"/>
      <c r="AU301" s="286"/>
      <c r="AV301" s="286"/>
      <c r="AW301" s="286"/>
      <c r="AX301" s="286"/>
      <c r="AY301" s="286"/>
      <c r="AZ301" s="286"/>
      <c r="BA301" s="286"/>
      <c r="BB301" s="286"/>
      <c r="BC301" s="286"/>
      <c r="BD301" s="287"/>
      <c r="BE301" s="287"/>
      <c r="BF301" s="287"/>
      <c r="BG301" s="287"/>
      <c r="BH301" s="287"/>
      <c r="BI301" s="287"/>
      <c r="BJ301" s="287"/>
      <c r="BK301" s="287"/>
      <c r="BL301" s="287"/>
      <c r="BM301" s="287"/>
      <c r="BN301" s="287"/>
      <c r="BO301" s="287"/>
      <c r="BP301" s="287"/>
      <c r="BQ301" s="287"/>
      <c r="BR301" s="287"/>
      <c r="BS301" s="287"/>
      <c r="BT301" s="287"/>
      <c r="BU301" s="287"/>
      <c r="BV301" s="287"/>
      <c r="BW301" s="287"/>
      <c r="BX301" s="286"/>
      <c r="BY301" s="289"/>
      <c r="BZ301" s="289"/>
      <c r="CA301" s="289"/>
      <c r="CB301" s="289"/>
      <c r="CC301" s="289"/>
      <c r="CD301" s="289"/>
      <c r="CE301" s="289"/>
      <c r="CF301" s="289"/>
      <c r="CG301" s="287"/>
      <c r="CH301" s="287"/>
      <c r="CI301" s="287"/>
      <c r="CJ301" s="287"/>
      <c r="CK301" s="287"/>
      <c r="CL301" s="287"/>
      <c r="CM301" s="287"/>
      <c r="CN301" s="287"/>
      <c r="CO301" s="287"/>
      <c r="CP301" s="287"/>
      <c r="CQ301" s="287"/>
      <c r="CR301" s="287"/>
      <c r="CS301" s="6"/>
      <c r="CT301" s="6"/>
      <c r="CU301" s="6"/>
      <c r="CV301" s="6"/>
      <c r="CW301" s="6"/>
      <c r="CX301" s="6"/>
      <c r="CY301" s="6"/>
      <c r="CZ301" s="6"/>
      <c r="DA301" s="343">
        <f t="shared" si="10"/>
        <v>0</v>
      </c>
    </row>
    <row r="302" spans="1:105" ht="20" customHeight="1" x14ac:dyDescent="0.35">
      <c r="A302" s="290"/>
      <c r="B302" s="270" t="s">
        <v>890</v>
      </c>
      <c r="C302" s="270" t="s">
        <v>1725</v>
      </c>
      <c r="D302" s="270" t="s">
        <v>630</v>
      </c>
      <c r="E302" s="270" t="s">
        <v>34</v>
      </c>
      <c r="F302" s="270" t="s">
        <v>1783</v>
      </c>
      <c r="G302" s="270" t="s">
        <v>1726</v>
      </c>
      <c r="H302" s="298">
        <v>60</v>
      </c>
      <c r="I302" s="292"/>
      <c r="J302" s="292">
        <v>71</v>
      </c>
      <c r="K302" s="286"/>
      <c r="L302" s="286"/>
      <c r="M302" s="286"/>
      <c r="N302" s="286"/>
      <c r="O302" s="286"/>
      <c r="P302" s="286"/>
      <c r="Q302" s="286">
        <v>50</v>
      </c>
      <c r="R302" s="286"/>
      <c r="S302" s="286"/>
      <c r="T302" s="286"/>
      <c r="U302" s="286"/>
      <c r="V302" s="293"/>
      <c r="W302" s="286"/>
      <c r="X302" s="286"/>
      <c r="Y302" s="286"/>
      <c r="Z302" s="286"/>
      <c r="AA302" s="286"/>
      <c r="AB302" s="286"/>
      <c r="AC302" s="286"/>
      <c r="AD302" s="286"/>
      <c r="AE302" s="286"/>
      <c r="AF302" s="286"/>
      <c r="AG302" s="286"/>
      <c r="AH302" s="286"/>
      <c r="AI302" s="286"/>
      <c r="AJ302" s="286"/>
      <c r="AK302" s="287"/>
      <c r="AL302" s="288"/>
      <c r="AM302" s="287"/>
      <c r="AN302" s="287"/>
      <c r="AO302" s="287"/>
      <c r="AP302" s="286"/>
      <c r="AQ302" s="296"/>
      <c r="AR302" s="286"/>
      <c r="AS302" s="286"/>
      <c r="AT302" s="286"/>
      <c r="AU302" s="286"/>
      <c r="AV302" s="286"/>
      <c r="AW302" s="286"/>
      <c r="AX302" s="286"/>
      <c r="AY302" s="286"/>
      <c r="AZ302" s="286"/>
      <c r="BA302" s="286"/>
      <c r="BB302" s="286"/>
      <c r="BC302" s="286">
        <v>71</v>
      </c>
      <c r="BD302" s="287"/>
      <c r="BE302" s="287"/>
      <c r="BF302" s="287"/>
      <c r="BG302" s="287"/>
      <c r="BH302" s="287"/>
      <c r="BI302" s="287"/>
      <c r="BJ302" s="287"/>
      <c r="BK302" s="287"/>
      <c r="BL302" s="287"/>
      <c r="BM302" s="287"/>
      <c r="BN302" s="287"/>
      <c r="BO302" s="287"/>
      <c r="BP302" s="287"/>
      <c r="BQ302" s="287"/>
      <c r="BR302" s="287"/>
      <c r="BS302" s="287"/>
      <c r="BT302" s="287"/>
      <c r="BU302" s="287"/>
      <c r="BV302" s="287"/>
      <c r="BW302" s="287"/>
      <c r="BX302" s="286"/>
      <c r="BY302" s="289"/>
      <c r="BZ302" s="289"/>
      <c r="CA302" s="289"/>
      <c r="CB302" s="289"/>
      <c r="CC302" s="289"/>
      <c r="CD302" s="289"/>
      <c r="CE302" s="289"/>
      <c r="CF302" s="289"/>
      <c r="CG302" s="287"/>
      <c r="CH302" s="287"/>
      <c r="CI302" s="287"/>
      <c r="CJ302" s="287"/>
      <c r="CK302" s="287"/>
      <c r="CL302" s="287"/>
      <c r="CM302" s="287"/>
      <c r="CN302" s="287"/>
      <c r="CO302" s="287"/>
      <c r="CP302" s="287"/>
      <c r="CQ302" s="287"/>
      <c r="CR302" s="287"/>
      <c r="CS302" s="6"/>
      <c r="CT302" s="6"/>
      <c r="CU302" s="6"/>
      <c r="CV302" s="6"/>
      <c r="CW302" s="6"/>
      <c r="CX302" s="6"/>
      <c r="CY302" s="6"/>
      <c r="CZ302" s="6"/>
      <c r="DA302" s="343">
        <f t="shared" si="10"/>
        <v>60</v>
      </c>
    </row>
    <row r="303" spans="1:105" ht="20" customHeight="1" x14ac:dyDescent="0.35">
      <c r="A303" s="317"/>
      <c r="B303" s="270" t="s">
        <v>891</v>
      </c>
      <c r="C303" s="270" t="s">
        <v>253</v>
      </c>
      <c r="D303" s="297" t="s">
        <v>623</v>
      </c>
      <c r="E303" s="270" t="s">
        <v>34</v>
      </c>
      <c r="F303" s="270" t="s">
        <v>2223</v>
      </c>
      <c r="G303" s="270" t="s">
        <v>39</v>
      </c>
      <c r="H303" s="298">
        <v>6.25</v>
      </c>
      <c r="I303" s="286"/>
      <c r="J303" s="300">
        <v>10</v>
      </c>
      <c r="K303" s="286"/>
      <c r="L303" s="286"/>
      <c r="M303" s="286"/>
      <c r="N303" s="286"/>
      <c r="O303" s="286"/>
      <c r="P303" s="286"/>
      <c r="Q303" s="286"/>
      <c r="R303" s="286"/>
      <c r="S303" s="286"/>
      <c r="T303" s="286"/>
      <c r="U303" s="286"/>
      <c r="V303" s="294"/>
      <c r="W303" s="286"/>
      <c r="X303" s="286"/>
      <c r="Y303" s="286"/>
      <c r="Z303" s="286"/>
      <c r="AA303" s="286"/>
      <c r="AB303" s="286"/>
      <c r="AC303" s="286"/>
      <c r="AD303" s="286"/>
      <c r="AE303" s="286"/>
      <c r="AF303" s="286"/>
      <c r="AG303" s="286"/>
      <c r="AH303" s="286"/>
      <c r="AI303" s="286"/>
      <c r="AJ303" s="286"/>
      <c r="AK303" s="287"/>
      <c r="AL303" s="288"/>
      <c r="AM303" s="287"/>
      <c r="AN303" s="287"/>
      <c r="AO303" s="287"/>
      <c r="AP303" s="286"/>
      <c r="AQ303" s="296"/>
      <c r="AR303" s="286"/>
      <c r="AS303" s="286"/>
      <c r="AT303" s="286"/>
      <c r="AU303" s="286"/>
      <c r="AV303" s="286"/>
      <c r="AW303" s="286"/>
      <c r="AX303" s="286"/>
      <c r="AY303" s="286"/>
      <c r="AZ303" s="286"/>
      <c r="BA303" s="286"/>
      <c r="BB303" s="286"/>
      <c r="BC303" s="286"/>
      <c r="BD303" s="287"/>
      <c r="BE303" s="287"/>
      <c r="BF303" s="287"/>
      <c r="BG303" s="288"/>
      <c r="BH303" s="287"/>
      <c r="BI303" s="287"/>
      <c r="BJ303" s="287"/>
      <c r="BK303" s="287"/>
      <c r="BL303" s="287"/>
      <c r="BM303" s="287"/>
      <c r="BN303" s="287"/>
      <c r="BO303" s="287"/>
      <c r="BP303" s="287"/>
      <c r="BQ303" s="287"/>
      <c r="BR303" s="287"/>
      <c r="BS303" s="287"/>
      <c r="BT303" s="287"/>
      <c r="BU303" s="289"/>
      <c r="BV303" s="287"/>
      <c r="BW303" s="287"/>
      <c r="BX303" s="286"/>
      <c r="BY303" s="289"/>
      <c r="BZ303" s="289"/>
      <c r="CA303" s="289"/>
      <c r="CB303" s="289"/>
      <c r="CC303" s="289"/>
      <c r="CD303" s="289"/>
      <c r="CE303" s="289"/>
      <c r="CF303" s="289"/>
      <c r="CG303" s="287"/>
      <c r="CH303" s="287"/>
      <c r="CI303" s="287"/>
      <c r="CJ303" s="287"/>
      <c r="CK303" s="287"/>
      <c r="CL303" s="287"/>
      <c r="CM303" s="286"/>
      <c r="CN303" s="287"/>
      <c r="CO303" s="287"/>
      <c r="CP303" s="287"/>
      <c r="CQ303" s="287"/>
      <c r="CR303" s="287">
        <v>28</v>
      </c>
      <c r="CS303" s="6"/>
      <c r="CT303" s="6"/>
      <c r="CU303" s="6"/>
      <c r="CV303" s="6"/>
      <c r="CW303" s="6"/>
      <c r="CX303" s="6"/>
      <c r="CY303" s="6"/>
      <c r="CZ303" s="6"/>
      <c r="DA303" s="343">
        <f t="shared" si="10"/>
        <v>6.25</v>
      </c>
    </row>
    <row r="304" spans="1:105" ht="20" customHeight="1" x14ac:dyDescent="0.35">
      <c r="A304" s="290">
        <v>520745</v>
      </c>
      <c r="B304" s="270" t="s">
        <v>892</v>
      </c>
      <c r="C304" s="270" t="s">
        <v>1620</v>
      </c>
      <c r="D304" s="297" t="s">
        <v>604</v>
      </c>
      <c r="E304" s="270" t="s">
        <v>34</v>
      </c>
      <c r="F304" s="270" t="s">
        <v>32</v>
      </c>
      <c r="G304" s="270" t="s">
        <v>39</v>
      </c>
      <c r="H304" s="298">
        <f>218/15</f>
        <v>14.533333333333333</v>
      </c>
      <c r="I304" s="300">
        <v>19</v>
      </c>
      <c r="J304" s="292">
        <v>18.5</v>
      </c>
      <c r="K304" s="286"/>
      <c r="L304" s="286"/>
      <c r="M304" s="286"/>
      <c r="N304" s="286"/>
      <c r="O304" s="286"/>
      <c r="P304" s="286"/>
      <c r="Q304" s="286"/>
      <c r="R304" s="286"/>
      <c r="S304" s="286"/>
      <c r="T304" s="286">
        <v>18.5</v>
      </c>
      <c r="U304" s="286"/>
      <c r="V304" s="294"/>
      <c r="W304" s="286"/>
      <c r="X304" s="286"/>
      <c r="Y304" s="286"/>
      <c r="Z304" s="286"/>
      <c r="AA304" s="286"/>
      <c r="AB304" s="286"/>
      <c r="AC304" s="286"/>
      <c r="AD304" s="286"/>
      <c r="AE304" s="286"/>
      <c r="AF304" s="286"/>
      <c r="AG304" s="286"/>
      <c r="AH304" s="286"/>
      <c r="AI304" s="286"/>
      <c r="AJ304" s="286"/>
      <c r="AK304" s="295">
        <v>20</v>
      </c>
      <c r="AL304" s="288"/>
      <c r="AM304" s="287"/>
      <c r="AN304" s="287"/>
      <c r="AO304" s="287">
        <v>18.5</v>
      </c>
      <c r="AP304" s="286"/>
      <c r="AQ304" s="296"/>
      <c r="AR304" s="286"/>
      <c r="AS304" s="286"/>
      <c r="AT304" s="286">
        <v>18.5</v>
      </c>
      <c r="AU304" s="286"/>
      <c r="AV304" s="286"/>
      <c r="AW304" s="286"/>
      <c r="AX304" s="286"/>
      <c r="AY304" s="286"/>
      <c r="AZ304" s="292">
        <v>18.5</v>
      </c>
      <c r="BA304" s="286"/>
      <c r="BB304" s="286"/>
      <c r="BC304" s="286"/>
      <c r="BD304" s="287"/>
      <c r="BE304" s="287"/>
      <c r="BF304" s="287"/>
      <c r="BG304" s="288">
        <v>19</v>
      </c>
      <c r="BH304" s="287"/>
      <c r="BI304" s="287"/>
      <c r="BJ304" s="287"/>
      <c r="BK304" s="287"/>
      <c r="BL304" s="287"/>
      <c r="BM304" s="287"/>
      <c r="BN304" s="287"/>
      <c r="BO304" s="287"/>
      <c r="BP304" s="287"/>
      <c r="BQ304" s="287"/>
      <c r="BR304" s="287"/>
      <c r="BS304" s="287"/>
      <c r="BT304" s="287"/>
      <c r="BU304" s="288">
        <v>22</v>
      </c>
      <c r="BV304" s="287"/>
      <c r="BW304" s="287"/>
      <c r="BX304" s="286"/>
      <c r="BY304" s="289">
        <v>0</v>
      </c>
      <c r="BZ304" s="289">
        <v>0</v>
      </c>
      <c r="CA304" s="289"/>
      <c r="CB304" s="289"/>
      <c r="CC304" s="289"/>
      <c r="CD304" s="289"/>
      <c r="CE304" s="289"/>
      <c r="CF304" s="289"/>
      <c r="CG304" s="287"/>
      <c r="CH304" s="287"/>
      <c r="CI304" s="287"/>
      <c r="CJ304" s="287"/>
      <c r="CK304" s="287"/>
      <c r="CL304" s="287"/>
      <c r="CM304" s="287"/>
      <c r="CN304" s="287"/>
      <c r="CO304" s="287"/>
      <c r="CP304" s="287"/>
      <c r="CQ304" s="287">
        <v>20</v>
      </c>
      <c r="CR304" s="307">
        <v>18</v>
      </c>
      <c r="CS304" s="315">
        <v>20</v>
      </c>
      <c r="CT304" s="6"/>
      <c r="CU304" s="6"/>
      <c r="CV304" s="6"/>
      <c r="CW304" s="6"/>
      <c r="CX304" s="6"/>
      <c r="CY304" s="6"/>
      <c r="CZ304" s="6"/>
      <c r="DA304" s="343">
        <f t="shared" si="10"/>
        <v>14.533333333333333</v>
      </c>
    </row>
    <row r="305" spans="1:105" ht="20" customHeight="1" x14ac:dyDescent="0.35">
      <c r="A305" s="309"/>
      <c r="B305" s="270" t="s">
        <v>893</v>
      </c>
      <c r="C305" s="270" t="s">
        <v>256</v>
      </c>
      <c r="D305" s="270"/>
      <c r="E305" s="270" t="s">
        <v>34</v>
      </c>
      <c r="F305" s="270" t="s">
        <v>49</v>
      </c>
      <c r="G305" s="270" t="s">
        <v>38</v>
      </c>
      <c r="H305" s="298">
        <v>8.3000000000000007</v>
      </c>
      <c r="I305" s="286"/>
      <c r="J305" s="286"/>
      <c r="K305" s="286"/>
      <c r="L305" s="286"/>
      <c r="M305" s="286"/>
      <c r="N305" s="286"/>
      <c r="O305" s="286">
        <v>10</v>
      </c>
      <c r="P305" s="292">
        <v>10</v>
      </c>
      <c r="Q305" s="286">
        <v>9</v>
      </c>
      <c r="R305" s="286">
        <v>9</v>
      </c>
      <c r="S305" s="286">
        <v>9</v>
      </c>
      <c r="T305" s="286"/>
      <c r="U305" s="286"/>
      <c r="V305" s="286"/>
      <c r="W305" s="286"/>
      <c r="X305" s="286"/>
      <c r="Y305" s="286"/>
      <c r="Z305" s="286"/>
      <c r="AA305" s="286">
        <v>10</v>
      </c>
      <c r="AB305" s="286"/>
      <c r="AC305" s="286"/>
      <c r="AD305" s="286"/>
      <c r="AE305" s="286"/>
      <c r="AF305" s="286"/>
      <c r="AG305" s="286"/>
      <c r="AH305" s="286"/>
      <c r="AI305" s="286"/>
      <c r="AJ305" s="286"/>
      <c r="AK305" s="287"/>
      <c r="AL305" s="288"/>
      <c r="AM305" s="287"/>
      <c r="AN305" s="287"/>
      <c r="AO305" s="287"/>
      <c r="AP305" s="286"/>
      <c r="AQ305" s="296"/>
      <c r="AR305" s="286"/>
      <c r="AS305" s="286"/>
      <c r="AT305" s="286"/>
      <c r="AU305" s="286"/>
      <c r="AV305" s="286"/>
      <c r="AW305" s="286"/>
      <c r="AX305" s="286"/>
      <c r="AY305" s="286"/>
      <c r="AZ305" s="286"/>
      <c r="BA305" s="286"/>
      <c r="BB305" s="286"/>
      <c r="BC305" s="286"/>
      <c r="BD305" s="287"/>
      <c r="BE305" s="287"/>
      <c r="BF305" s="287"/>
      <c r="BG305" s="288">
        <v>11.5</v>
      </c>
      <c r="BH305" s="287"/>
      <c r="BI305" s="287"/>
      <c r="BJ305" s="287"/>
      <c r="BK305" s="287"/>
      <c r="BL305" s="287"/>
      <c r="BM305" s="287"/>
      <c r="BN305" s="287"/>
      <c r="BO305" s="287"/>
      <c r="BP305" s="287"/>
      <c r="BQ305" s="287"/>
      <c r="BR305" s="287"/>
      <c r="BS305" s="287"/>
      <c r="BT305" s="287"/>
      <c r="BU305" s="287"/>
      <c r="BV305" s="287"/>
      <c r="BW305" s="287"/>
      <c r="BX305" s="286"/>
      <c r="BY305" s="289"/>
      <c r="BZ305" s="289">
        <v>9</v>
      </c>
      <c r="CA305" s="289"/>
      <c r="CB305" s="289"/>
      <c r="CC305" s="289"/>
      <c r="CD305" s="289"/>
      <c r="CE305" s="289"/>
      <c r="CF305" s="289"/>
      <c r="CG305" s="287"/>
      <c r="CH305" s="287"/>
      <c r="CI305" s="287"/>
      <c r="CJ305" s="287"/>
      <c r="CK305" s="287"/>
      <c r="CL305" s="287"/>
      <c r="CM305" s="287"/>
      <c r="CN305" s="287"/>
      <c r="CO305" s="287"/>
      <c r="CP305" s="287"/>
      <c r="CQ305" s="287"/>
      <c r="CR305" s="287"/>
      <c r="CS305" s="6"/>
      <c r="CT305" s="6"/>
      <c r="CU305" s="6"/>
      <c r="CV305" s="6"/>
      <c r="CW305" s="6"/>
      <c r="CX305" s="6"/>
      <c r="CY305" s="6"/>
      <c r="CZ305" s="6"/>
      <c r="DA305" s="343">
        <f t="shared" si="10"/>
        <v>8.3000000000000007</v>
      </c>
    </row>
    <row r="306" spans="1:105" ht="20" customHeight="1" x14ac:dyDescent="0.35">
      <c r="A306" s="301"/>
      <c r="B306" s="270" t="s">
        <v>894</v>
      </c>
      <c r="C306" s="270" t="s">
        <v>257</v>
      </c>
      <c r="D306" s="270"/>
      <c r="E306" s="270" t="s">
        <v>34</v>
      </c>
      <c r="F306" s="270" t="s">
        <v>49</v>
      </c>
      <c r="G306" s="270" t="s">
        <v>38</v>
      </c>
      <c r="H306" s="298">
        <v>8</v>
      </c>
      <c r="I306" s="286"/>
      <c r="J306" s="286"/>
      <c r="K306" s="286"/>
      <c r="L306" s="286"/>
      <c r="M306" s="286"/>
      <c r="N306" s="286"/>
      <c r="O306" s="286">
        <v>8</v>
      </c>
      <c r="P306" s="286"/>
      <c r="Q306" s="286">
        <v>8</v>
      </c>
      <c r="R306" s="286">
        <v>8</v>
      </c>
      <c r="S306" s="286"/>
      <c r="T306" s="286"/>
      <c r="U306" s="286"/>
      <c r="V306" s="286"/>
      <c r="W306" s="286"/>
      <c r="X306" s="286"/>
      <c r="Y306" s="286"/>
      <c r="Z306" s="286"/>
      <c r="AA306" s="286"/>
      <c r="AB306" s="286"/>
      <c r="AC306" s="286"/>
      <c r="AD306" s="286"/>
      <c r="AE306" s="286"/>
      <c r="AF306" s="286"/>
      <c r="AG306" s="286"/>
      <c r="AH306" s="286"/>
      <c r="AI306" s="286"/>
      <c r="AJ306" s="286"/>
      <c r="AK306" s="287"/>
      <c r="AL306" s="288"/>
      <c r="AM306" s="287"/>
      <c r="AN306" s="287"/>
      <c r="AO306" s="287"/>
      <c r="AP306" s="286"/>
      <c r="AQ306" s="296"/>
      <c r="AR306" s="286"/>
      <c r="AS306" s="286"/>
      <c r="AT306" s="286"/>
      <c r="AU306" s="286"/>
      <c r="AV306" s="286"/>
      <c r="AW306" s="286"/>
      <c r="AX306" s="286"/>
      <c r="AY306" s="286"/>
      <c r="AZ306" s="286"/>
      <c r="BA306" s="286"/>
      <c r="BB306" s="286"/>
      <c r="BC306" s="286"/>
      <c r="BD306" s="287"/>
      <c r="BE306" s="287"/>
      <c r="BF306" s="287"/>
      <c r="BG306" s="288">
        <v>11</v>
      </c>
      <c r="BH306" s="287"/>
      <c r="BI306" s="287"/>
      <c r="BJ306" s="287"/>
      <c r="BK306" s="287"/>
      <c r="BL306" s="287"/>
      <c r="BM306" s="287"/>
      <c r="BN306" s="287"/>
      <c r="BO306" s="287"/>
      <c r="BP306" s="287"/>
      <c r="BQ306" s="287"/>
      <c r="BR306" s="287"/>
      <c r="BS306" s="287"/>
      <c r="BT306" s="287"/>
      <c r="BU306" s="287"/>
      <c r="BV306" s="287"/>
      <c r="BW306" s="287"/>
      <c r="BX306" s="286"/>
      <c r="BY306" s="289"/>
      <c r="BZ306" s="289"/>
      <c r="CA306" s="289"/>
      <c r="CB306" s="289"/>
      <c r="CC306" s="289"/>
      <c r="CD306" s="289"/>
      <c r="CE306" s="289"/>
      <c r="CF306" s="289"/>
      <c r="CG306" s="287"/>
      <c r="CH306" s="287"/>
      <c r="CI306" s="287"/>
      <c r="CJ306" s="287"/>
      <c r="CK306" s="287"/>
      <c r="CL306" s="287"/>
      <c r="CM306" s="287"/>
      <c r="CN306" s="287"/>
      <c r="CO306" s="287"/>
      <c r="CP306" s="287"/>
      <c r="CQ306" s="287"/>
      <c r="CR306" s="287"/>
      <c r="CS306" s="6"/>
      <c r="CT306" s="6"/>
      <c r="CU306" s="6"/>
      <c r="CV306" s="6"/>
      <c r="CW306" s="6"/>
      <c r="CX306" s="6"/>
      <c r="CY306" s="6"/>
      <c r="CZ306" s="6"/>
      <c r="DA306" s="343">
        <f t="shared" si="10"/>
        <v>8</v>
      </c>
    </row>
    <row r="307" spans="1:105" ht="20" customHeight="1" x14ac:dyDescent="0.35">
      <c r="A307" s="301"/>
      <c r="B307" s="270" t="s">
        <v>895</v>
      </c>
      <c r="C307" s="270" t="s">
        <v>896</v>
      </c>
      <c r="D307" s="270" t="s">
        <v>630</v>
      </c>
      <c r="E307" s="270" t="s">
        <v>34</v>
      </c>
      <c r="F307" s="270" t="s">
        <v>49</v>
      </c>
      <c r="G307" s="270" t="s">
        <v>38</v>
      </c>
      <c r="H307" s="298">
        <v>12</v>
      </c>
      <c r="I307" s="286"/>
      <c r="J307" s="292">
        <v>13</v>
      </c>
      <c r="K307" s="286"/>
      <c r="L307" s="286"/>
      <c r="M307" s="286"/>
      <c r="N307" s="286"/>
      <c r="O307" s="286"/>
      <c r="P307" s="286"/>
      <c r="Q307" s="286"/>
      <c r="R307" s="286"/>
      <c r="S307" s="286"/>
      <c r="T307" s="286"/>
      <c r="U307" s="286"/>
      <c r="V307" s="286"/>
      <c r="W307" s="286"/>
      <c r="X307" s="286"/>
      <c r="Y307" s="286"/>
      <c r="Z307" s="286"/>
      <c r="AA307" s="286"/>
      <c r="AB307" s="286"/>
      <c r="AC307" s="286"/>
      <c r="AD307" s="286"/>
      <c r="AE307" s="286"/>
      <c r="AF307" s="286"/>
      <c r="AG307" s="286"/>
      <c r="AH307" s="286"/>
      <c r="AI307" s="286"/>
      <c r="AJ307" s="286"/>
      <c r="AK307" s="287"/>
      <c r="AL307" s="288"/>
      <c r="AM307" s="287"/>
      <c r="AN307" s="287"/>
      <c r="AO307" s="287"/>
      <c r="AP307" s="286"/>
      <c r="AQ307" s="296"/>
      <c r="AR307" s="286"/>
      <c r="AS307" s="286"/>
      <c r="AT307" s="286"/>
      <c r="AU307" s="286"/>
      <c r="AV307" s="286"/>
      <c r="AW307" s="286"/>
      <c r="AX307" s="286"/>
      <c r="AY307" s="286"/>
      <c r="AZ307" s="286"/>
      <c r="BA307" s="286"/>
      <c r="BB307" s="286"/>
      <c r="BC307" s="286"/>
      <c r="BD307" s="287"/>
      <c r="BE307" s="287"/>
      <c r="BF307" s="287"/>
      <c r="BG307" s="287"/>
      <c r="BH307" s="287"/>
      <c r="BI307" s="287"/>
      <c r="BJ307" s="287"/>
      <c r="BK307" s="287"/>
      <c r="BL307" s="287"/>
      <c r="BM307" s="287"/>
      <c r="BN307" s="287"/>
      <c r="BO307" s="287"/>
      <c r="BP307" s="287"/>
      <c r="BQ307" s="287"/>
      <c r="BR307" s="287"/>
      <c r="BS307" s="287"/>
      <c r="BT307" s="287"/>
      <c r="BU307" s="287"/>
      <c r="BV307" s="287"/>
      <c r="BW307" s="287"/>
      <c r="BX307" s="286"/>
      <c r="BY307" s="289"/>
      <c r="BZ307" s="289"/>
      <c r="CA307" s="289"/>
      <c r="CB307" s="289"/>
      <c r="CC307" s="289"/>
      <c r="CD307" s="289"/>
      <c r="CE307" s="289"/>
      <c r="CF307" s="289"/>
      <c r="CG307" s="287"/>
      <c r="CH307" s="287"/>
      <c r="CI307" s="287"/>
      <c r="CJ307" s="287"/>
      <c r="CK307" s="287"/>
      <c r="CL307" s="287"/>
      <c r="CM307" s="287"/>
      <c r="CN307" s="287"/>
      <c r="CO307" s="287"/>
      <c r="CP307" s="287"/>
      <c r="CQ307" s="287"/>
      <c r="CR307" s="287"/>
      <c r="CS307" s="6"/>
      <c r="CT307" s="6"/>
      <c r="CU307" s="6"/>
      <c r="CV307" s="6"/>
      <c r="CW307" s="6"/>
      <c r="CX307" s="6"/>
      <c r="CY307" s="6"/>
      <c r="CZ307" s="6"/>
      <c r="DA307" s="343">
        <f t="shared" si="10"/>
        <v>12</v>
      </c>
    </row>
    <row r="308" spans="1:105" ht="20" customHeight="1" x14ac:dyDescent="0.35">
      <c r="A308" s="301"/>
      <c r="B308" s="270" t="s">
        <v>897</v>
      </c>
      <c r="C308" s="270" t="s">
        <v>898</v>
      </c>
      <c r="D308" s="320"/>
      <c r="E308" s="320"/>
      <c r="F308" s="270" t="s">
        <v>49</v>
      </c>
      <c r="G308" s="270" t="s">
        <v>38</v>
      </c>
      <c r="H308" s="298"/>
      <c r="I308" s="286"/>
      <c r="J308" s="286"/>
      <c r="K308" s="286"/>
      <c r="L308" s="286"/>
      <c r="M308" s="286"/>
      <c r="N308" s="286"/>
      <c r="O308" s="286"/>
      <c r="P308" s="286"/>
      <c r="Q308" s="286"/>
      <c r="R308" s="286"/>
      <c r="S308" s="286"/>
      <c r="T308" s="286"/>
      <c r="U308" s="286"/>
      <c r="V308" s="286"/>
      <c r="W308" s="286"/>
      <c r="X308" s="286"/>
      <c r="Y308" s="286"/>
      <c r="Z308" s="286"/>
      <c r="AA308" s="286"/>
      <c r="AB308" s="286"/>
      <c r="AC308" s="286"/>
      <c r="AD308" s="286"/>
      <c r="AE308" s="286"/>
      <c r="AF308" s="286"/>
      <c r="AG308" s="286"/>
      <c r="AH308" s="286"/>
      <c r="AI308" s="286"/>
      <c r="AJ308" s="286"/>
      <c r="AK308" s="287"/>
      <c r="AL308" s="288"/>
      <c r="AM308" s="287"/>
      <c r="AN308" s="287"/>
      <c r="AO308" s="287"/>
      <c r="AP308" s="286"/>
      <c r="AQ308" s="296"/>
      <c r="AR308" s="286"/>
      <c r="AS308" s="286"/>
      <c r="AT308" s="286"/>
      <c r="AU308" s="286"/>
      <c r="AV308" s="286"/>
      <c r="AW308" s="286"/>
      <c r="AX308" s="286"/>
      <c r="AY308" s="286"/>
      <c r="AZ308" s="286"/>
      <c r="BA308" s="286"/>
      <c r="BB308" s="286"/>
      <c r="BC308" s="286"/>
      <c r="BD308" s="287"/>
      <c r="BE308" s="287"/>
      <c r="BF308" s="287"/>
      <c r="BG308" s="287"/>
      <c r="BH308" s="287"/>
      <c r="BI308" s="287"/>
      <c r="BJ308" s="287"/>
      <c r="BK308" s="287"/>
      <c r="BL308" s="287"/>
      <c r="BM308" s="287"/>
      <c r="BN308" s="287"/>
      <c r="BO308" s="287"/>
      <c r="BP308" s="287"/>
      <c r="BQ308" s="287"/>
      <c r="BR308" s="287"/>
      <c r="BS308" s="287"/>
      <c r="BT308" s="287"/>
      <c r="BU308" s="287"/>
      <c r="BV308" s="287"/>
      <c r="BW308" s="287"/>
      <c r="BX308" s="286"/>
      <c r="BY308" s="289"/>
      <c r="BZ308" s="289"/>
      <c r="CA308" s="289"/>
      <c r="CB308" s="289"/>
      <c r="CC308" s="289"/>
      <c r="CD308" s="289"/>
      <c r="CE308" s="289"/>
      <c r="CF308" s="289"/>
      <c r="CG308" s="287"/>
      <c r="CH308" s="287"/>
      <c r="CI308" s="287"/>
      <c r="CJ308" s="287"/>
      <c r="CK308" s="287"/>
      <c r="CL308" s="287"/>
      <c r="CM308" s="287"/>
      <c r="CN308" s="287"/>
      <c r="CO308" s="287"/>
      <c r="CP308" s="287"/>
      <c r="CQ308" s="287"/>
      <c r="CR308" s="287"/>
      <c r="CS308" s="6"/>
      <c r="CT308" s="6"/>
      <c r="CU308" s="6"/>
      <c r="CV308" s="6"/>
      <c r="CW308" s="6"/>
      <c r="CX308" s="6"/>
      <c r="CY308" s="6"/>
      <c r="CZ308" s="6"/>
      <c r="DA308" s="343">
        <f t="shared" si="10"/>
        <v>0</v>
      </c>
    </row>
    <row r="309" spans="1:105" ht="20" customHeight="1" x14ac:dyDescent="0.35">
      <c r="A309" s="301"/>
      <c r="B309" s="270" t="s">
        <v>899</v>
      </c>
      <c r="C309" s="270" t="s">
        <v>900</v>
      </c>
      <c r="D309" s="270" t="s">
        <v>630</v>
      </c>
      <c r="E309" s="320"/>
      <c r="F309" s="270" t="s">
        <v>49</v>
      </c>
      <c r="G309" s="270" t="s">
        <v>38</v>
      </c>
      <c r="H309" s="298">
        <v>48</v>
      </c>
      <c r="I309" s="286"/>
      <c r="J309" s="292">
        <v>60</v>
      </c>
      <c r="K309" s="286"/>
      <c r="L309" s="286"/>
      <c r="M309" s="286"/>
      <c r="N309" s="286"/>
      <c r="O309" s="286"/>
      <c r="P309" s="286"/>
      <c r="Q309" s="286"/>
      <c r="R309" s="286"/>
      <c r="S309" s="286"/>
      <c r="T309" s="286"/>
      <c r="U309" s="286"/>
      <c r="V309" s="286"/>
      <c r="W309" s="286"/>
      <c r="X309" s="286"/>
      <c r="Y309" s="286"/>
      <c r="Z309" s="286"/>
      <c r="AA309" s="286"/>
      <c r="AB309" s="286"/>
      <c r="AC309" s="286"/>
      <c r="AD309" s="286"/>
      <c r="AE309" s="286"/>
      <c r="AF309" s="286"/>
      <c r="AG309" s="286"/>
      <c r="AH309" s="286"/>
      <c r="AI309" s="286"/>
      <c r="AJ309" s="286"/>
      <c r="AK309" s="287"/>
      <c r="AL309" s="288"/>
      <c r="AM309" s="287"/>
      <c r="AN309" s="287"/>
      <c r="AO309" s="287"/>
      <c r="AP309" s="286"/>
      <c r="AQ309" s="296"/>
      <c r="AR309" s="286"/>
      <c r="AS309" s="286"/>
      <c r="AT309" s="286"/>
      <c r="AU309" s="286"/>
      <c r="AV309" s="286"/>
      <c r="AW309" s="286"/>
      <c r="AX309" s="286"/>
      <c r="AY309" s="286"/>
      <c r="AZ309" s="286"/>
      <c r="BA309" s="286"/>
      <c r="BB309" s="286"/>
      <c r="BC309" s="286"/>
      <c r="BD309" s="287"/>
      <c r="BE309" s="287"/>
      <c r="BF309" s="287"/>
      <c r="BG309" s="287"/>
      <c r="BH309" s="287">
        <v>60</v>
      </c>
      <c r="BI309" s="287"/>
      <c r="BJ309" s="287"/>
      <c r="BK309" s="287"/>
      <c r="BL309" s="287"/>
      <c r="BM309" s="287"/>
      <c r="BN309" s="287"/>
      <c r="BO309" s="287"/>
      <c r="BP309" s="287"/>
      <c r="BQ309" s="287"/>
      <c r="BR309" s="287"/>
      <c r="BS309" s="287"/>
      <c r="BT309" s="287"/>
      <c r="BU309" s="287"/>
      <c r="BV309" s="287"/>
      <c r="BW309" s="287"/>
      <c r="BX309" s="286"/>
      <c r="BY309" s="289"/>
      <c r="BZ309" s="289"/>
      <c r="CA309" s="289"/>
      <c r="CB309" s="289"/>
      <c r="CC309" s="289"/>
      <c r="CD309" s="289"/>
      <c r="CE309" s="289"/>
      <c r="CF309" s="289"/>
      <c r="CG309" s="287"/>
      <c r="CH309" s="287"/>
      <c r="CI309" s="287"/>
      <c r="CJ309" s="287"/>
      <c r="CK309" s="287"/>
      <c r="CL309" s="287"/>
      <c r="CM309" s="287"/>
      <c r="CN309" s="287"/>
      <c r="CO309" s="287"/>
      <c r="CP309" s="287"/>
      <c r="CQ309" s="287"/>
      <c r="CR309" s="287"/>
      <c r="CS309" s="6"/>
      <c r="CT309" s="6"/>
      <c r="CU309" s="6"/>
      <c r="CV309" s="6"/>
      <c r="CW309" s="6"/>
      <c r="CX309" s="6"/>
      <c r="CY309" s="6"/>
      <c r="CZ309" s="6"/>
      <c r="DA309" s="343">
        <f t="shared" si="10"/>
        <v>48</v>
      </c>
    </row>
    <row r="310" spans="1:105" ht="20" customHeight="1" x14ac:dyDescent="0.35">
      <c r="A310" s="301"/>
      <c r="B310" s="270" t="s">
        <v>901</v>
      </c>
      <c r="C310" s="270" t="s">
        <v>902</v>
      </c>
      <c r="D310" s="320"/>
      <c r="E310" s="320"/>
      <c r="F310" s="270" t="s">
        <v>49</v>
      </c>
      <c r="G310" s="270" t="s">
        <v>38</v>
      </c>
      <c r="H310" s="298"/>
      <c r="I310" s="286"/>
      <c r="J310" s="286"/>
      <c r="K310" s="286"/>
      <c r="L310" s="286"/>
      <c r="M310" s="286"/>
      <c r="N310" s="286"/>
      <c r="O310" s="286"/>
      <c r="P310" s="286"/>
      <c r="Q310" s="286"/>
      <c r="R310" s="286"/>
      <c r="S310" s="286"/>
      <c r="T310" s="286"/>
      <c r="U310" s="286"/>
      <c r="V310" s="286"/>
      <c r="W310" s="286"/>
      <c r="X310" s="286"/>
      <c r="Y310" s="286"/>
      <c r="Z310" s="286"/>
      <c r="AA310" s="286"/>
      <c r="AB310" s="286"/>
      <c r="AC310" s="286"/>
      <c r="AD310" s="286"/>
      <c r="AE310" s="286"/>
      <c r="AF310" s="286"/>
      <c r="AG310" s="286"/>
      <c r="AH310" s="286"/>
      <c r="AI310" s="286"/>
      <c r="AJ310" s="286"/>
      <c r="AK310" s="287"/>
      <c r="AL310" s="288"/>
      <c r="AM310" s="287"/>
      <c r="AN310" s="287"/>
      <c r="AO310" s="287"/>
      <c r="AP310" s="286"/>
      <c r="AQ310" s="296"/>
      <c r="AR310" s="286"/>
      <c r="AS310" s="286"/>
      <c r="AT310" s="286"/>
      <c r="AU310" s="286"/>
      <c r="AV310" s="286"/>
      <c r="AW310" s="286"/>
      <c r="AX310" s="286"/>
      <c r="AY310" s="286"/>
      <c r="AZ310" s="286"/>
      <c r="BA310" s="286"/>
      <c r="BB310" s="286"/>
      <c r="BC310" s="286"/>
      <c r="BD310" s="287"/>
      <c r="BE310" s="287"/>
      <c r="BF310" s="287"/>
      <c r="BG310" s="287"/>
      <c r="BH310" s="287"/>
      <c r="BI310" s="287"/>
      <c r="BJ310" s="287"/>
      <c r="BK310" s="287"/>
      <c r="BL310" s="287"/>
      <c r="BM310" s="287"/>
      <c r="BN310" s="287"/>
      <c r="BO310" s="287"/>
      <c r="BP310" s="287"/>
      <c r="BQ310" s="287"/>
      <c r="BR310" s="287"/>
      <c r="BS310" s="287"/>
      <c r="BT310" s="287"/>
      <c r="BU310" s="287"/>
      <c r="BV310" s="287"/>
      <c r="BW310" s="287"/>
      <c r="BX310" s="286"/>
      <c r="BY310" s="289"/>
      <c r="BZ310" s="289"/>
      <c r="CA310" s="289"/>
      <c r="CB310" s="289"/>
      <c r="CC310" s="289"/>
      <c r="CD310" s="289"/>
      <c r="CE310" s="289"/>
      <c r="CF310" s="289"/>
      <c r="CG310" s="287"/>
      <c r="CH310" s="287"/>
      <c r="CI310" s="287"/>
      <c r="CJ310" s="287"/>
      <c r="CK310" s="287"/>
      <c r="CL310" s="287"/>
      <c r="CM310" s="287"/>
      <c r="CN310" s="287"/>
      <c r="CO310" s="287"/>
      <c r="CP310" s="287"/>
      <c r="CQ310" s="287"/>
      <c r="CR310" s="287"/>
      <c r="CS310" s="6"/>
      <c r="CT310" s="6"/>
      <c r="CU310" s="6"/>
      <c r="CV310" s="6"/>
      <c r="CW310" s="6"/>
      <c r="CX310" s="6"/>
      <c r="CY310" s="6"/>
      <c r="CZ310" s="6"/>
      <c r="DA310" s="343">
        <f t="shared" si="10"/>
        <v>0</v>
      </c>
    </row>
    <row r="311" spans="1:105" ht="20" customHeight="1" x14ac:dyDescent="0.35">
      <c r="A311" s="301"/>
      <c r="B311" s="270" t="s">
        <v>903</v>
      </c>
      <c r="C311" s="270" t="s">
        <v>904</v>
      </c>
      <c r="D311" s="320"/>
      <c r="E311" s="320"/>
      <c r="F311" s="270" t="s">
        <v>49</v>
      </c>
      <c r="G311" s="270" t="s">
        <v>38</v>
      </c>
      <c r="H311" s="298"/>
      <c r="I311" s="286"/>
      <c r="J311" s="286"/>
      <c r="K311" s="286"/>
      <c r="L311" s="286"/>
      <c r="M311" s="286"/>
      <c r="N311" s="286"/>
      <c r="O311" s="286"/>
      <c r="P311" s="286"/>
      <c r="Q311" s="286"/>
      <c r="R311" s="286"/>
      <c r="S311" s="286"/>
      <c r="T311" s="286"/>
      <c r="U311" s="286"/>
      <c r="V311" s="286"/>
      <c r="W311" s="286"/>
      <c r="X311" s="286"/>
      <c r="Y311" s="286"/>
      <c r="Z311" s="286"/>
      <c r="AA311" s="286"/>
      <c r="AB311" s="286"/>
      <c r="AC311" s="286"/>
      <c r="AD311" s="286"/>
      <c r="AE311" s="286"/>
      <c r="AF311" s="286"/>
      <c r="AG311" s="286"/>
      <c r="AH311" s="286"/>
      <c r="AI311" s="286"/>
      <c r="AJ311" s="286"/>
      <c r="AK311" s="287"/>
      <c r="AL311" s="288"/>
      <c r="AM311" s="287"/>
      <c r="AN311" s="287"/>
      <c r="AO311" s="287"/>
      <c r="AP311" s="286"/>
      <c r="AQ311" s="296"/>
      <c r="AR311" s="286"/>
      <c r="AS311" s="286"/>
      <c r="AT311" s="286"/>
      <c r="AU311" s="286"/>
      <c r="AV311" s="286"/>
      <c r="AW311" s="286"/>
      <c r="AX311" s="286"/>
      <c r="AY311" s="286"/>
      <c r="AZ311" s="286"/>
      <c r="BA311" s="286"/>
      <c r="BB311" s="286"/>
      <c r="BC311" s="286"/>
      <c r="BD311" s="287"/>
      <c r="BE311" s="287"/>
      <c r="BF311" s="287"/>
      <c r="BG311" s="287"/>
      <c r="BH311" s="287"/>
      <c r="BI311" s="287"/>
      <c r="BJ311" s="287"/>
      <c r="BK311" s="287"/>
      <c r="BL311" s="287"/>
      <c r="BM311" s="287"/>
      <c r="BN311" s="287"/>
      <c r="BO311" s="287"/>
      <c r="BP311" s="287"/>
      <c r="BQ311" s="287"/>
      <c r="BR311" s="287"/>
      <c r="BS311" s="287"/>
      <c r="BT311" s="287"/>
      <c r="BU311" s="287"/>
      <c r="BV311" s="287"/>
      <c r="BW311" s="287"/>
      <c r="BX311" s="286"/>
      <c r="BY311" s="289"/>
      <c r="BZ311" s="289"/>
      <c r="CA311" s="289"/>
      <c r="CB311" s="289"/>
      <c r="CC311" s="289"/>
      <c r="CD311" s="289"/>
      <c r="CE311" s="289"/>
      <c r="CF311" s="289"/>
      <c r="CG311" s="287"/>
      <c r="CH311" s="287"/>
      <c r="CI311" s="287"/>
      <c r="CJ311" s="287"/>
      <c r="CK311" s="287"/>
      <c r="CL311" s="287"/>
      <c r="CM311" s="287"/>
      <c r="CN311" s="287"/>
      <c r="CO311" s="287"/>
      <c r="CP311" s="287"/>
      <c r="CQ311" s="287"/>
      <c r="CR311" s="287"/>
      <c r="CS311" s="6"/>
      <c r="CT311" s="6"/>
      <c r="CU311" s="6"/>
      <c r="CV311" s="6"/>
      <c r="CW311" s="6"/>
      <c r="CX311" s="6"/>
      <c r="CY311" s="6"/>
      <c r="CZ311" s="6"/>
      <c r="DA311" s="343">
        <f t="shared" si="10"/>
        <v>0</v>
      </c>
    </row>
    <row r="312" spans="1:105" ht="20" customHeight="1" x14ac:dyDescent="0.35">
      <c r="A312" s="301"/>
      <c r="B312" s="270" t="s">
        <v>905</v>
      </c>
      <c r="C312" s="270" t="s">
        <v>906</v>
      </c>
      <c r="D312" s="320"/>
      <c r="E312" s="320"/>
      <c r="F312" s="270" t="s">
        <v>49</v>
      </c>
      <c r="G312" s="270" t="s">
        <v>38</v>
      </c>
      <c r="H312" s="298"/>
      <c r="I312" s="286"/>
      <c r="J312" s="286"/>
      <c r="K312" s="286"/>
      <c r="L312" s="286"/>
      <c r="M312" s="286"/>
      <c r="N312" s="286"/>
      <c r="O312" s="286"/>
      <c r="P312" s="286"/>
      <c r="Q312" s="286"/>
      <c r="R312" s="286"/>
      <c r="S312" s="286"/>
      <c r="T312" s="286"/>
      <c r="U312" s="286"/>
      <c r="V312" s="286"/>
      <c r="W312" s="286"/>
      <c r="X312" s="286"/>
      <c r="Y312" s="286"/>
      <c r="Z312" s="286"/>
      <c r="AA312" s="286"/>
      <c r="AB312" s="286"/>
      <c r="AC312" s="286"/>
      <c r="AD312" s="286"/>
      <c r="AE312" s="286"/>
      <c r="AF312" s="286"/>
      <c r="AG312" s="286"/>
      <c r="AH312" s="286"/>
      <c r="AI312" s="286"/>
      <c r="AJ312" s="286"/>
      <c r="AK312" s="287"/>
      <c r="AL312" s="288"/>
      <c r="AM312" s="287"/>
      <c r="AN312" s="287"/>
      <c r="AO312" s="287"/>
      <c r="AP312" s="286"/>
      <c r="AQ312" s="296"/>
      <c r="AR312" s="286"/>
      <c r="AS312" s="286"/>
      <c r="AT312" s="286"/>
      <c r="AU312" s="286"/>
      <c r="AV312" s="286"/>
      <c r="AW312" s="286"/>
      <c r="AX312" s="286"/>
      <c r="AY312" s="286"/>
      <c r="AZ312" s="286"/>
      <c r="BA312" s="286"/>
      <c r="BB312" s="286"/>
      <c r="BC312" s="286"/>
      <c r="BD312" s="287"/>
      <c r="BE312" s="287"/>
      <c r="BF312" s="287"/>
      <c r="BG312" s="287"/>
      <c r="BH312" s="287"/>
      <c r="BI312" s="287"/>
      <c r="BJ312" s="287"/>
      <c r="BK312" s="287"/>
      <c r="BL312" s="287"/>
      <c r="BM312" s="287"/>
      <c r="BN312" s="287"/>
      <c r="BO312" s="287"/>
      <c r="BP312" s="287"/>
      <c r="BQ312" s="287"/>
      <c r="BR312" s="287"/>
      <c r="BS312" s="287"/>
      <c r="BT312" s="287"/>
      <c r="BU312" s="287"/>
      <c r="BV312" s="287"/>
      <c r="BW312" s="287"/>
      <c r="BX312" s="286"/>
      <c r="BY312" s="289"/>
      <c r="BZ312" s="289"/>
      <c r="CA312" s="289"/>
      <c r="CB312" s="289"/>
      <c r="CC312" s="289"/>
      <c r="CD312" s="289"/>
      <c r="CE312" s="289"/>
      <c r="CF312" s="289"/>
      <c r="CG312" s="287"/>
      <c r="CH312" s="287"/>
      <c r="CI312" s="287"/>
      <c r="CJ312" s="287"/>
      <c r="CK312" s="287"/>
      <c r="CL312" s="287"/>
      <c r="CM312" s="287"/>
      <c r="CN312" s="287"/>
      <c r="CO312" s="287"/>
      <c r="CP312" s="287"/>
      <c r="CQ312" s="287"/>
      <c r="CR312" s="287"/>
      <c r="CS312" s="6"/>
      <c r="CT312" s="6"/>
      <c r="CU312" s="6"/>
      <c r="CV312" s="6"/>
      <c r="CW312" s="6"/>
      <c r="CX312" s="6"/>
      <c r="CY312" s="6"/>
      <c r="CZ312" s="6"/>
      <c r="DA312" s="343">
        <f t="shared" si="10"/>
        <v>0</v>
      </c>
    </row>
    <row r="313" spans="1:105" ht="20" customHeight="1" x14ac:dyDescent="0.35">
      <c r="A313" s="301"/>
      <c r="B313" s="270" t="s">
        <v>907</v>
      </c>
      <c r="C313" s="270" t="s">
        <v>908</v>
      </c>
      <c r="D313" s="320"/>
      <c r="E313" s="320"/>
      <c r="F313" s="270" t="s">
        <v>49</v>
      </c>
      <c r="G313" s="270" t="s">
        <v>38</v>
      </c>
      <c r="H313" s="298"/>
      <c r="I313" s="286"/>
      <c r="J313" s="286"/>
      <c r="K313" s="286"/>
      <c r="L313" s="286"/>
      <c r="M313" s="286"/>
      <c r="N313" s="286"/>
      <c r="O313" s="286"/>
      <c r="P313" s="286"/>
      <c r="Q313" s="286"/>
      <c r="R313" s="286"/>
      <c r="S313" s="286"/>
      <c r="T313" s="286"/>
      <c r="U313" s="286"/>
      <c r="V313" s="286"/>
      <c r="W313" s="286"/>
      <c r="X313" s="286"/>
      <c r="Y313" s="286"/>
      <c r="Z313" s="286"/>
      <c r="AA313" s="286"/>
      <c r="AB313" s="286"/>
      <c r="AC313" s="286"/>
      <c r="AD313" s="286"/>
      <c r="AE313" s="286"/>
      <c r="AF313" s="286"/>
      <c r="AG313" s="286"/>
      <c r="AH313" s="286"/>
      <c r="AI313" s="286"/>
      <c r="AJ313" s="286"/>
      <c r="AK313" s="287"/>
      <c r="AL313" s="288"/>
      <c r="AM313" s="287"/>
      <c r="AN313" s="287"/>
      <c r="AO313" s="287"/>
      <c r="AP313" s="286"/>
      <c r="AQ313" s="296"/>
      <c r="AR313" s="286"/>
      <c r="AS313" s="286"/>
      <c r="AT313" s="286"/>
      <c r="AU313" s="286"/>
      <c r="AV313" s="286"/>
      <c r="AW313" s="286"/>
      <c r="AX313" s="286"/>
      <c r="AY313" s="286"/>
      <c r="AZ313" s="286"/>
      <c r="BA313" s="286"/>
      <c r="BB313" s="286"/>
      <c r="BC313" s="286"/>
      <c r="BD313" s="287"/>
      <c r="BE313" s="287"/>
      <c r="BF313" s="287"/>
      <c r="BG313" s="287"/>
      <c r="BH313" s="287"/>
      <c r="BI313" s="287"/>
      <c r="BJ313" s="287"/>
      <c r="BK313" s="287"/>
      <c r="BL313" s="287"/>
      <c r="BM313" s="287"/>
      <c r="BN313" s="287"/>
      <c r="BO313" s="287"/>
      <c r="BP313" s="287"/>
      <c r="BQ313" s="287"/>
      <c r="BR313" s="287"/>
      <c r="BS313" s="287"/>
      <c r="BT313" s="287"/>
      <c r="BU313" s="287"/>
      <c r="BV313" s="287"/>
      <c r="BW313" s="287"/>
      <c r="BX313" s="286"/>
      <c r="BY313" s="289"/>
      <c r="BZ313" s="289"/>
      <c r="CA313" s="289"/>
      <c r="CB313" s="289"/>
      <c r="CC313" s="289"/>
      <c r="CD313" s="289"/>
      <c r="CE313" s="289"/>
      <c r="CF313" s="289"/>
      <c r="CG313" s="287"/>
      <c r="CH313" s="287"/>
      <c r="CI313" s="287"/>
      <c r="CJ313" s="287"/>
      <c r="CK313" s="287"/>
      <c r="CL313" s="287"/>
      <c r="CM313" s="287"/>
      <c r="CN313" s="287"/>
      <c r="CO313" s="287"/>
      <c r="CP313" s="287"/>
      <c r="CQ313" s="287"/>
      <c r="CR313" s="287"/>
      <c r="CS313" s="6"/>
      <c r="CT313" s="6"/>
      <c r="CU313" s="6"/>
      <c r="CV313" s="6"/>
      <c r="CW313" s="6"/>
      <c r="CX313" s="6"/>
      <c r="CY313" s="6"/>
      <c r="CZ313" s="6"/>
      <c r="DA313" s="343">
        <f t="shared" ref="DA313:DA397" si="14">H313</f>
        <v>0</v>
      </c>
    </row>
    <row r="314" spans="1:105" ht="20" customHeight="1" x14ac:dyDescent="0.35">
      <c r="A314" s="301"/>
      <c r="B314" s="270" t="s">
        <v>909</v>
      </c>
      <c r="C314" s="270" t="s">
        <v>910</v>
      </c>
      <c r="D314" s="320"/>
      <c r="E314" s="320"/>
      <c r="F314" s="270" t="s">
        <v>49</v>
      </c>
      <c r="G314" s="270" t="s">
        <v>38</v>
      </c>
      <c r="H314" s="298"/>
      <c r="I314" s="286"/>
      <c r="J314" s="286"/>
      <c r="K314" s="286"/>
      <c r="L314" s="286"/>
      <c r="M314" s="286"/>
      <c r="N314" s="286"/>
      <c r="O314" s="286"/>
      <c r="P314" s="286"/>
      <c r="Q314" s="286"/>
      <c r="R314" s="286"/>
      <c r="S314" s="286"/>
      <c r="T314" s="286"/>
      <c r="U314" s="286"/>
      <c r="V314" s="286"/>
      <c r="W314" s="286"/>
      <c r="X314" s="286"/>
      <c r="Y314" s="286"/>
      <c r="Z314" s="286"/>
      <c r="AA314" s="286"/>
      <c r="AB314" s="286"/>
      <c r="AC314" s="286"/>
      <c r="AD314" s="286"/>
      <c r="AE314" s="286"/>
      <c r="AF314" s="286"/>
      <c r="AG314" s="286"/>
      <c r="AH314" s="286"/>
      <c r="AI314" s="286"/>
      <c r="AJ314" s="286"/>
      <c r="AK314" s="287"/>
      <c r="AL314" s="288"/>
      <c r="AM314" s="287"/>
      <c r="AN314" s="287"/>
      <c r="AO314" s="287"/>
      <c r="AP314" s="286"/>
      <c r="AQ314" s="296"/>
      <c r="AR314" s="286"/>
      <c r="AS314" s="286"/>
      <c r="AT314" s="286"/>
      <c r="AU314" s="286"/>
      <c r="AV314" s="286"/>
      <c r="AW314" s="286"/>
      <c r="AX314" s="286"/>
      <c r="AY314" s="286"/>
      <c r="AZ314" s="286"/>
      <c r="BA314" s="286"/>
      <c r="BB314" s="286"/>
      <c r="BC314" s="286"/>
      <c r="BD314" s="287"/>
      <c r="BE314" s="287"/>
      <c r="BF314" s="287"/>
      <c r="BG314" s="287"/>
      <c r="BH314" s="287"/>
      <c r="BI314" s="287"/>
      <c r="BJ314" s="287"/>
      <c r="BK314" s="287"/>
      <c r="BL314" s="287"/>
      <c r="BM314" s="287"/>
      <c r="BN314" s="287"/>
      <c r="BO314" s="287"/>
      <c r="BP314" s="287"/>
      <c r="BQ314" s="287"/>
      <c r="BR314" s="287"/>
      <c r="BS314" s="287"/>
      <c r="BT314" s="287"/>
      <c r="BU314" s="287"/>
      <c r="BV314" s="287"/>
      <c r="BW314" s="287"/>
      <c r="BX314" s="286"/>
      <c r="BY314" s="289"/>
      <c r="BZ314" s="289"/>
      <c r="CA314" s="289"/>
      <c r="CB314" s="289"/>
      <c r="CC314" s="289"/>
      <c r="CD314" s="289"/>
      <c r="CE314" s="289"/>
      <c r="CF314" s="289"/>
      <c r="CG314" s="287"/>
      <c r="CH314" s="287"/>
      <c r="CI314" s="287"/>
      <c r="CJ314" s="287"/>
      <c r="CK314" s="287"/>
      <c r="CL314" s="287"/>
      <c r="CM314" s="287"/>
      <c r="CN314" s="287"/>
      <c r="CO314" s="287"/>
      <c r="CP314" s="287"/>
      <c r="CQ314" s="287"/>
      <c r="CR314" s="287"/>
      <c r="CS314" s="6"/>
      <c r="CT314" s="6"/>
      <c r="CU314" s="6"/>
      <c r="CV314" s="6"/>
      <c r="CW314" s="6"/>
      <c r="CX314" s="6"/>
      <c r="CY314" s="6"/>
      <c r="CZ314" s="6"/>
      <c r="DA314" s="343">
        <f t="shared" si="14"/>
        <v>0</v>
      </c>
    </row>
    <row r="315" spans="1:105" ht="20" customHeight="1" x14ac:dyDescent="0.35">
      <c r="A315" s="301"/>
      <c r="B315" s="270" t="s">
        <v>2106</v>
      </c>
      <c r="C315" s="270" t="s">
        <v>910</v>
      </c>
      <c r="D315" s="320"/>
      <c r="E315" s="320" t="s">
        <v>34</v>
      </c>
      <c r="F315" s="270" t="s">
        <v>2011</v>
      </c>
      <c r="G315" s="270" t="s">
        <v>38</v>
      </c>
      <c r="H315" s="298"/>
      <c r="I315" s="286"/>
      <c r="J315" s="286">
        <v>2</v>
      </c>
      <c r="K315" s="286"/>
      <c r="L315" s="286"/>
      <c r="M315" s="286"/>
      <c r="N315" s="286"/>
      <c r="O315" s="286"/>
      <c r="P315" s="286"/>
      <c r="Q315" s="286"/>
      <c r="R315" s="286"/>
      <c r="S315" s="286"/>
      <c r="T315" s="286"/>
      <c r="U315" s="286"/>
      <c r="V315" s="286"/>
      <c r="W315" s="286"/>
      <c r="X315" s="286"/>
      <c r="Y315" s="286"/>
      <c r="Z315" s="286"/>
      <c r="AA315" s="286"/>
      <c r="AB315" s="286"/>
      <c r="AC315" s="286"/>
      <c r="AD315" s="286"/>
      <c r="AE315" s="286"/>
      <c r="AF315" s="286"/>
      <c r="AG315" s="286"/>
      <c r="AH315" s="286"/>
      <c r="AI315" s="286"/>
      <c r="AJ315" s="286"/>
      <c r="AK315" s="287"/>
      <c r="AL315" s="288"/>
      <c r="AM315" s="287"/>
      <c r="AN315" s="287"/>
      <c r="AO315" s="287"/>
      <c r="AP315" s="286"/>
      <c r="AQ315" s="296"/>
      <c r="AR315" s="286"/>
      <c r="AS315" s="286"/>
      <c r="AT315" s="286"/>
      <c r="AU315" s="286"/>
      <c r="AV315" s="286"/>
      <c r="AW315" s="286"/>
      <c r="AX315" s="286"/>
      <c r="AY315" s="286"/>
      <c r="AZ315" s="286"/>
      <c r="BA315" s="286"/>
      <c r="BB315" s="286"/>
      <c r="BC315" s="286"/>
      <c r="BD315" s="287"/>
      <c r="BE315" s="287"/>
      <c r="BF315" s="287"/>
      <c r="BG315" s="287"/>
      <c r="BH315" s="286">
        <v>2</v>
      </c>
      <c r="BI315" s="287"/>
      <c r="BJ315" s="287"/>
      <c r="BK315" s="287"/>
      <c r="BL315" s="287"/>
      <c r="BM315" s="287"/>
      <c r="BN315" s="287"/>
      <c r="BO315" s="287"/>
      <c r="BP315" s="287"/>
      <c r="BQ315" s="287"/>
      <c r="BR315" s="287"/>
      <c r="BS315" s="287"/>
      <c r="BT315" s="287"/>
      <c r="BU315" s="287"/>
      <c r="BV315" s="287"/>
      <c r="BW315" s="287"/>
      <c r="BX315" s="286"/>
      <c r="BY315" s="289"/>
      <c r="BZ315" s="289"/>
      <c r="CA315" s="289"/>
      <c r="CB315" s="289"/>
      <c r="CC315" s="289"/>
      <c r="CD315" s="289"/>
      <c r="CE315" s="289"/>
      <c r="CF315" s="289"/>
      <c r="CG315" s="287"/>
      <c r="CH315" s="287"/>
      <c r="CI315" s="287"/>
      <c r="CJ315" s="287"/>
      <c r="CK315" s="287"/>
      <c r="CL315" s="287"/>
      <c r="CM315" s="287"/>
      <c r="CN315" s="287"/>
      <c r="CO315" s="287"/>
      <c r="CP315" s="287"/>
      <c r="CQ315" s="287"/>
      <c r="CR315" s="287"/>
      <c r="CS315" s="6"/>
      <c r="CT315" s="6"/>
      <c r="CU315" s="6"/>
      <c r="CV315" s="6"/>
      <c r="CW315" s="6"/>
      <c r="CX315" s="6"/>
      <c r="CY315" s="6"/>
      <c r="CZ315" s="6"/>
      <c r="DA315" s="343">
        <f>H315</f>
        <v>0</v>
      </c>
    </row>
    <row r="316" spans="1:105" ht="20" customHeight="1" x14ac:dyDescent="0.35">
      <c r="A316" s="301"/>
      <c r="B316" s="270" t="s">
        <v>911</v>
      </c>
      <c r="C316" s="270" t="s">
        <v>2105</v>
      </c>
      <c r="D316" s="320"/>
      <c r="E316" s="320" t="s">
        <v>34</v>
      </c>
      <c r="F316" s="270" t="s">
        <v>49</v>
      </c>
      <c r="G316" s="270" t="s">
        <v>38</v>
      </c>
      <c r="H316" s="298">
        <f>14</f>
        <v>14</v>
      </c>
      <c r="I316" s="286"/>
      <c r="J316" s="286">
        <v>20</v>
      </c>
      <c r="K316" s="286"/>
      <c r="L316" s="286"/>
      <c r="M316" s="286"/>
      <c r="N316" s="286"/>
      <c r="O316" s="286"/>
      <c r="P316" s="286"/>
      <c r="Q316" s="286"/>
      <c r="R316" s="286"/>
      <c r="S316" s="286"/>
      <c r="T316" s="286"/>
      <c r="U316" s="286"/>
      <c r="V316" s="286"/>
      <c r="W316" s="286"/>
      <c r="X316" s="286"/>
      <c r="Y316" s="286"/>
      <c r="Z316" s="286"/>
      <c r="AA316" s="286"/>
      <c r="AB316" s="286"/>
      <c r="AC316" s="286"/>
      <c r="AD316" s="286"/>
      <c r="AE316" s="286"/>
      <c r="AF316" s="286"/>
      <c r="AG316" s="286"/>
      <c r="AH316" s="286"/>
      <c r="AI316" s="286"/>
      <c r="AJ316" s="286"/>
      <c r="AK316" s="287"/>
      <c r="AL316" s="288"/>
      <c r="AM316" s="287"/>
      <c r="AN316" s="287"/>
      <c r="AO316" s="287"/>
      <c r="AP316" s="286"/>
      <c r="AQ316" s="296"/>
      <c r="AR316" s="286"/>
      <c r="AS316" s="286"/>
      <c r="AT316" s="286"/>
      <c r="AU316" s="286"/>
      <c r="AV316" s="286"/>
      <c r="AW316" s="286"/>
      <c r="AX316" s="286"/>
      <c r="AY316" s="286"/>
      <c r="AZ316" s="286"/>
      <c r="BA316" s="286"/>
      <c r="BB316" s="286"/>
      <c r="BC316" s="286"/>
      <c r="BD316" s="287"/>
      <c r="BE316" s="287"/>
      <c r="BF316" s="287"/>
      <c r="BG316" s="287"/>
      <c r="BH316" s="286">
        <v>20</v>
      </c>
      <c r="BI316" s="287"/>
      <c r="BJ316" s="287"/>
      <c r="BK316" s="287"/>
      <c r="BL316" s="287"/>
      <c r="BM316" s="287"/>
      <c r="BN316" s="287"/>
      <c r="BO316" s="287"/>
      <c r="BP316" s="287"/>
      <c r="BQ316" s="287"/>
      <c r="BR316" s="287"/>
      <c r="BS316" s="287"/>
      <c r="BT316" s="287"/>
      <c r="BU316" s="287"/>
      <c r="BV316" s="287"/>
      <c r="BW316" s="287"/>
      <c r="BX316" s="286"/>
      <c r="BY316" s="289"/>
      <c r="BZ316" s="289"/>
      <c r="CA316" s="289"/>
      <c r="CB316" s="289"/>
      <c r="CC316" s="289"/>
      <c r="CD316" s="289"/>
      <c r="CE316" s="289"/>
      <c r="CF316" s="289"/>
      <c r="CG316" s="287"/>
      <c r="CH316" s="287"/>
      <c r="CI316" s="287"/>
      <c r="CJ316" s="287"/>
      <c r="CK316" s="287"/>
      <c r="CL316" s="287"/>
      <c r="CM316" s="287"/>
      <c r="CN316" s="287"/>
      <c r="CO316" s="287"/>
      <c r="CP316" s="287"/>
      <c r="CQ316" s="287"/>
      <c r="CR316" s="287"/>
      <c r="CS316" s="6"/>
      <c r="CT316" s="6"/>
      <c r="CU316" s="6"/>
      <c r="CV316" s="6"/>
      <c r="CW316" s="6"/>
      <c r="CX316" s="6"/>
      <c r="CY316" s="6"/>
      <c r="CZ316" s="6"/>
      <c r="DA316" s="343">
        <f t="shared" si="14"/>
        <v>14</v>
      </c>
    </row>
    <row r="317" spans="1:105" ht="20" customHeight="1" x14ac:dyDescent="0.35">
      <c r="A317" s="301"/>
      <c r="B317" s="270" t="s">
        <v>912</v>
      </c>
      <c r="C317" s="270" t="s">
        <v>913</v>
      </c>
      <c r="D317" s="320"/>
      <c r="E317" s="320"/>
      <c r="F317" s="270" t="s">
        <v>49</v>
      </c>
      <c r="G317" s="270" t="s">
        <v>38</v>
      </c>
      <c r="H317" s="298"/>
      <c r="I317" s="286"/>
      <c r="J317" s="286"/>
      <c r="K317" s="286"/>
      <c r="L317" s="286"/>
      <c r="M317" s="286"/>
      <c r="N317" s="286"/>
      <c r="O317" s="286"/>
      <c r="P317" s="286"/>
      <c r="Q317" s="286"/>
      <c r="R317" s="286"/>
      <c r="S317" s="286"/>
      <c r="T317" s="286"/>
      <c r="U317" s="286"/>
      <c r="V317" s="286"/>
      <c r="W317" s="286"/>
      <c r="X317" s="286"/>
      <c r="Y317" s="286"/>
      <c r="Z317" s="286"/>
      <c r="AA317" s="286"/>
      <c r="AB317" s="286"/>
      <c r="AC317" s="286"/>
      <c r="AD317" s="286"/>
      <c r="AE317" s="286"/>
      <c r="AF317" s="286"/>
      <c r="AG317" s="286"/>
      <c r="AH317" s="286"/>
      <c r="AI317" s="286"/>
      <c r="AJ317" s="286"/>
      <c r="AK317" s="287"/>
      <c r="AL317" s="288"/>
      <c r="AM317" s="287"/>
      <c r="AN317" s="287"/>
      <c r="AO317" s="287"/>
      <c r="AP317" s="286"/>
      <c r="AQ317" s="296"/>
      <c r="AR317" s="286"/>
      <c r="AS317" s="286"/>
      <c r="AT317" s="286"/>
      <c r="AU317" s="286"/>
      <c r="AV317" s="286"/>
      <c r="AW317" s="286"/>
      <c r="AX317" s="286"/>
      <c r="AY317" s="286"/>
      <c r="AZ317" s="286"/>
      <c r="BA317" s="286"/>
      <c r="BB317" s="286"/>
      <c r="BC317" s="286"/>
      <c r="BD317" s="287"/>
      <c r="BE317" s="287"/>
      <c r="BF317" s="287"/>
      <c r="BG317" s="287"/>
      <c r="BH317" s="287"/>
      <c r="BI317" s="287"/>
      <c r="BJ317" s="287"/>
      <c r="BK317" s="287"/>
      <c r="BL317" s="287"/>
      <c r="BM317" s="287"/>
      <c r="BN317" s="287"/>
      <c r="BO317" s="287"/>
      <c r="BP317" s="287"/>
      <c r="BQ317" s="287"/>
      <c r="BR317" s="287"/>
      <c r="BS317" s="287"/>
      <c r="BT317" s="287"/>
      <c r="BU317" s="287"/>
      <c r="BV317" s="287"/>
      <c r="BW317" s="287"/>
      <c r="BX317" s="286"/>
      <c r="BY317" s="289"/>
      <c r="BZ317" s="289"/>
      <c r="CA317" s="289"/>
      <c r="CB317" s="289"/>
      <c r="CC317" s="289"/>
      <c r="CD317" s="289"/>
      <c r="CE317" s="289"/>
      <c r="CF317" s="289"/>
      <c r="CG317" s="287"/>
      <c r="CH317" s="287"/>
      <c r="CI317" s="287"/>
      <c r="CJ317" s="287"/>
      <c r="CK317" s="287"/>
      <c r="CL317" s="287"/>
      <c r="CM317" s="287"/>
      <c r="CN317" s="287"/>
      <c r="CO317" s="287"/>
      <c r="CP317" s="287"/>
      <c r="CQ317" s="287"/>
      <c r="CR317" s="287"/>
      <c r="CS317" s="6"/>
      <c r="CT317" s="6"/>
      <c r="CU317" s="6"/>
      <c r="CV317" s="6"/>
      <c r="CW317" s="6"/>
      <c r="CX317" s="6"/>
      <c r="CY317" s="6"/>
      <c r="CZ317" s="6"/>
      <c r="DA317" s="343">
        <f t="shared" si="14"/>
        <v>0</v>
      </c>
    </row>
    <row r="318" spans="1:105" ht="20" customHeight="1" x14ac:dyDescent="0.35">
      <c r="A318" s="301"/>
      <c r="B318" s="270" t="s">
        <v>914</v>
      </c>
      <c r="C318" s="270" t="s">
        <v>915</v>
      </c>
      <c r="D318" s="320"/>
      <c r="E318" s="320"/>
      <c r="F318" s="270" t="s">
        <v>49</v>
      </c>
      <c r="G318" s="270" t="s">
        <v>38</v>
      </c>
      <c r="H318" s="298"/>
      <c r="I318" s="286"/>
      <c r="J318" s="286"/>
      <c r="K318" s="286"/>
      <c r="L318" s="286"/>
      <c r="M318" s="286"/>
      <c r="N318" s="286"/>
      <c r="O318" s="286"/>
      <c r="P318" s="286"/>
      <c r="Q318" s="286"/>
      <c r="R318" s="286"/>
      <c r="S318" s="286"/>
      <c r="T318" s="286"/>
      <c r="U318" s="286"/>
      <c r="V318" s="286"/>
      <c r="W318" s="286"/>
      <c r="X318" s="286"/>
      <c r="Y318" s="286"/>
      <c r="Z318" s="286"/>
      <c r="AA318" s="286"/>
      <c r="AB318" s="286"/>
      <c r="AC318" s="286"/>
      <c r="AD318" s="286"/>
      <c r="AE318" s="286"/>
      <c r="AF318" s="286"/>
      <c r="AG318" s="286"/>
      <c r="AH318" s="286"/>
      <c r="AI318" s="286"/>
      <c r="AJ318" s="286"/>
      <c r="AK318" s="287"/>
      <c r="AL318" s="288"/>
      <c r="AM318" s="287"/>
      <c r="AN318" s="287"/>
      <c r="AO318" s="287"/>
      <c r="AP318" s="286"/>
      <c r="AQ318" s="296"/>
      <c r="AR318" s="286"/>
      <c r="AS318" s="286"/>
      <c r="AT318" s="286"/>
      <c r="AU318" s="286"/>
      <c r="AV318" s="286"/>
      <c r="AW318" s="286"/>
      <c r="AX318" s="286"/>
      <c r="AY318" s="286"/>
      <c r="AZ318" s="286"/>
      <c r="BA318" s="286"/>
      <c r="BB318" s="286"/>
      <c r="BC318" s="286"/>
      <c r="BD318" s="287"/>
      <c r="BE318" s="287"/>
      <c r="BF318" s="287"/>
      <c r="BG318" s="287"/>
      <c r="BH318" s="287"/>
      <c r="BI318" s="287"/>
      <c r="BJ318" s="287"/>
      <c r="BK318" s="287"/>
      <c r="BL318" s="287"/>
      <c r="BM318" s="287"/>
      <c r="BN318" s="287"/>
      <c r="BO318" s="287"/>
      <c r="BP318" s="287"/>
      <c r="BQ318" s="287"/>
      <c r="BR318" s="287"/>
      <c r="BS318" s="287"/>
      <c r="BT318" s="287"/>
      <c r="BU318" s="287"/>
      <c r="BV318" s="287"/>
      <c r="BW318" s="287"/>
      <c r="BX318" s="286"/>
      <c r="BY318" s="289"/>
      <c r="BZ318" s="289"/>
      <c r="CA318" s="289"/>
      <c r="CB318" s="289"/>
      <c r="CC318" s="289"/>
      <c r="CD318" s="289"/>
      <c r="CE318" s="289"/>
      <c r="CF318" s="289"/>
      <c r="CG318" s="287"/>
      <c r="CH318" s="287"/>
      <c r="CI318" s="287"/>
      <c r="CJ318" s="287"/>
      <c r="CK318" s="287"/>
      <c r="CL318" s="287"/>
      <c r="CM318" s="287"/>
      <c r="CN318" s="287"/>
      <c r="CO318" s="287"/>
      <c r="CP318" s="287"/>
      <c r="CQ318" s="287"/>
      <c r="CR318" s="287"/>
      <c r="CS318" s="6"/>
      <c r="CT318" s="6"/>
      <c r="CU318" s="6"/>
      <c r="CV318" s="6"/>
      <c r="CW318" s="6"/>
      <c r="CX318" s="6"/>
      <c r="CY318" s="6"/>
      <c r="CZ318" s="6"/>
      <c r="DA318" s="343">
        <f t="shared" si="14"/>
        <v>0</v>
      </c>
    </row>
    <row r="319" spans="1:105" ht="20" customHeight="1" x14ac:dyDescent="0.35">
      <c r="A319" s="301"/>
      <c r="B319" s="270" t="s">
        <v>916</v>
      </c>
      <c r="C319" s="270" t="s">
        <v>1622</v>
      </c>
      <c r="D319" s="320" t="s">
        <v>630</v>
      </c>
      <c r="E319" s="320" t="s">
        <v>1476</v>
      </c>
      <c r="F319" s="270" t="s">
        <v>553</v>
      </c>
      <c r="G319" s="270" t="s">
        <v>1477</v>
      </c>
      <c r="H319" s="298">
        <f>4.5*25</f>
        <v>112.5</v>
      </c>
      <c r="I319" s="286"/>
      <c r="J319" s="292">
        <f>5*25</f>
        <v>125</v>
      </c>
      <c r="K319" s="286"/>
      <c r="L319" s="286"/>
      <c r="M319" s="286"/>
      <c r="N319" s="286"/>
      <c r="O319" s="286"/>
      <c r="P319" s="286"/>
      <c r="Q319" s="286"/>
      <c r="R319" s="286"/>
      <c r="S319" s="286"/>
      <c r="T319" s="286"/>
      <c r="U319" s="286"/>
      <c r="V319" s="286"/>
      <c r="W319" s="286"/>
      <c r="X319" s="286"/>
      <c r="Y319" s="286"/>
      <c r="Z319" s="286"/>
      <c r="AA319" s="286"/>
      <c r="AB319" s="286"/>
      <c r="AC319" s="286"/>
      <c r="AD319" s="286"/>
      <c r="AE319" s="286"/>
      <c r="AF319" s="286"/>
      <c r="AG319" s="286"/>
      <c r="AH319" s="286"/>
      <c r="AI319" s="286"/>
      <c r="AJ319" s="286"/>
      <c r="AK319" s="287"/>
      <c r="AL319" s="288"/>
      <c r="AM319" s="287"/>
      <c r="AN319" s="287"/>
      <c r="AO319" s="287"/>
      <c r="AP319" s="286"/>
      <c r="AQ319" s="296"/>
      <c r="AR319" s="286"/>
      <c r="AS319" s="286"/>
      <c r="AT319" s="286"/>
      <c r="AU319" s="286"/>
      <c r="AV319" s="286"/>
      <c r="AW319" s="286"/>
      <c r="AX319" s="286"/>
      <c r="AY319" s="286"/>
      <c r="AZ319" s="286"/>
      <c r="BA319" s="286"/>
      <c r="BB319" s="286"/>
      <c r="BC319" s="286"/>
      <c r="BD319" s="287"/>
      <c r="BE319" s="287"/>
      <c r="BF319" s="287"/>
      <c r="BG319" s="287"/>
      <c r="BH319" s="287"/>
      <c r="BI319" s="287"/>
      <c r="BJ319" s="287"/>
      <c r="BK319" s="287"/>
      <c r="BL319" s="287"/>
      <c r="BM319" s="287"/>
      <c r="BN319" s="287"/>
      <c r="BO319" s="287"/>
      <c r="BP319" s="287"/>
      <c r="BQ319" s="287"/>
      <c r="BR319" s="287"/>
      <c r="BS319" s="287"/>
      <c r="BT319" s="287"/>
      <c r="BU319" s="287"/>
      <c r="BV319" s="287"/>
      <c r="BW319" s="287"/>
      <c r="BX319" s="286"/>
      <c r="BY319" s="289"/>
      <c r="BZ319" s="289"/>
      <c r="CA319" s="289"/>
      <c r="CB319" s="289"/>
      <c r="CC319" s="289"/>
      <c r="CD319" s="289"/>
      <c r="CE319" s="289"/>
      <c r="CF319" s="289"/>
      <c r="CG319" s="287"/>
      <c r="CH319" s="287"/>
      <c r="CI319" s="287"/>
      <c r="CJ319" s="287"/>
      <c r="CK319" s="287"/>
      <c r="CL319" s="287"/>
      <c r="CM319" s="287"/>
      <c r="CN319" s="287"/>
      <c r="CO319" s="287"/>
      <c r="CP319" s="287"/>
      <c r="CQ319" s="287"/>
      <c r="CR319" s="287"/>
      <c r="CS319" s="6"/>
      <c r="CT319" s="6"/>
      <c r="CU319" s="6"/>
      <c r="CV319" s="6"/>
      <c r="CW319" s="6"/>
      <c r="CX319" s="6"/>
      <c r="CY319" s="6"/>
      <c r="CZ319" s="6"/>
      <c r="DA319" s="343">
        <f t="shared" si="14"/>
        <v>112.5</v>
      </c>
    </row>
    <row r="320" spans="1:105" ht="20" customHeight="1" x14ac:dyDescent="0.35">
      <c r="A320" s="301"/>
      <c r="B320" s="270" t="s">
        <v>1796</v>
      </c>
      <c r="C320" s="270" t="s">
        <v>1622</v>
      </c>
      <c r="D320" s="320" t="s">
        <v>630</v>
      </c>
      <c r="E320" s="320" t="s">
        <v>1476</v>
      </c>
      <c r="F320" s="270" t="s">
        <v>1795</v>
      </c>
      <c r="G320" s="270" t="s">
        <v>1477</v>
      </c>
      <c r="H320" s="298">
        <f>4.5*3</f>
        <v>13.5</v>
      </c>
      <c r="I320" s="286"/>
      <c r="J320" s="286"/>
      <c r="K320" s="286"/>
      <c r="L320" s="286"/>
      <c r="M320" s="286"/>
      <c r="N320" s="286"/>
      <c r="O320" s="286"/>
      <c r="P320" s="286"/>
      <c r="Q320" s="286"/>
      <c r="R320" s="286"/>
      <c r="S320" s="286"/>
      <c r="T320" s="286"/>
      <c r="U320" s="286"/>
      <c r="V320" s="286"/>
      <c r="W320" s="286"/>
      <c r="X320" s="286"/>
      <c r="Y320" s="286"/>
      <c r="Z320" s="286"/>
      <c r="AA320" s="286"/>
      <c r="AB320" s="286"/>
      <c r="AC320" s="286"/>
      <c r="AD320" s="286"/>
      <c r="AE320" s="286"/>
      <c r="AF320" s="286"/>
      <c r="AG320" s="286"/>
      <c r="AH320" s="286"/>
      <c r="AI320" s="286"/>
      <c r="AJ320" s="286"/>
      <c r="AK320" s="287"/>
      <c r="AL320" s="288"/>
      <c r="AM320" s="287"/>
      <c r="AN320" s="287"/>
      <c r="AO320" s="287"/>
      <c r="AP320" s="286"/>
      <c r="AQ320" s="296"/>
      <c r="AR320" s="286"/>
      <c r="AS320" s="286"/>
      <c r="AT320" s="286"/>
      <c r="AU320" s="286"/>
      <c r="AV320" s="286"/>
      <c r="AW320" s="286"/>
      <c r="AX320" s="286"/>
      <c r="AY320" s="286"/>
      <c r="AZ320" s="286"/>
      <c r="BA320" s="286"/>
      <c r="BB320" s="286"/>
      <c r="BC320" s="286"/>
      <c r="BD320" s="287"/>
      <c r="BE320" s="287"/>
      <c r="BF320" s="287"/>
      <c r="BG320" s="287"/>
      <c r="BH320" s="287"/>
      <c r="BI320" s="287"/>
      <c r="BJ320" s="287"/>
      <c r="BK320" s="287"/>
      <c r="BL320" s="287"/>
      <c r="BM320" s="287"/>
      <c r="BN320" s="287"/>
      <c r="BO320" s="287"/>
      <c r="BP320" s="287"/>
      <c r="BQ320" s="287"/>
      <c r="BR320" s="287"/>
      <c r="BS320" s="287"/>
      <c r="BT320" s="287"/>
      <c r="BU320" s="287"/>
      <c r="BV320" s="287"/>
      <c r="BW320" s="287"/>
      <c r="BX320" s="286"/>
      <c r="BY320" s="289"/>
      <c r="BZ320" s="289"/>
      <c r="CA320" s="289"/>
      <c r="CB320" s="289"/>
      <c r="CC320" s="289"/>
      <c r="CD320" s="289"/>
      <c r="CE320" s="289"/>
      <c r="CF320" s="289"/>
      <c r="CG320" s="287"/>
      <c r="CH320" s="287"/>
      <c r="CI320" s="287"/>
      <c r="CJ320" s="287"/>
      <c r="CK320" s="287"/>
      <c r="CL320" s="287"/>
      <c r="CM320" s="287"/>
      <c r="CN320" s="287"/>
      <c r="CO320" s="287"/>
      <c r="CP320" s="287"/>
      <c r="CQ320" s="287"/>
      <c r="CR320" s="287"/>
      <c r="CS320" s="6"/>
      <c r="CT320" s="6"/>
      <c r="CU320" s="6"/>
      <c r="CV320" s="6"/>
      <c r="CW320" s="6"/>
      <c r="CX320" s="6"/>
      <c r="CY320" s="6"/>
      <c r="CZ320" s="6"/>
      <c r="DA320" s="343">
        <f t="shared" si="14"/>
        <v>13.5</v>
      </c>
    </row>
    <row r="321" spans="1:105" ht="20" customHeight="1" x14ac:dyDescent="0.35">
      <c r="A321" s="301"/>
      <c r="B321" s="270" t="s">
        <v>1069</v>
      </c>
      <c r="C321" s="270" t="s">
        <v>1623</v>
      </c>
      <c r="D321" s="320" t="s">
        <v>513</v>
      </c>
      <c r="E321" s="320"/>
      <c r="F321" s="270" t="s">
        <v>556</v>
      </c>
      <c r="G321" s="270" t="s">
        <v>138</v>
      </c>
      <c r="H321" s="298">
        <v>37.5</v>
      </c>
      <c r="I321" s="286"/>
      <c r="J321" s="286"/>
      <c r="K321" s="286"/>
      <c r="L321" s="286"/>
      <c r="M321" s="286"/>
      <c r="N321" s="286"/>
      <c r="O321" s="286"/>
      <c r="P321" s="286"/>
      <c r="Q321" s="286"/>
      <c r="R321" s="286"/>
      <c r="S321" s="286"/>
      <c r="T321" s="286"/>
      <c r="U321" s="286"/>
      <c r="V321" s="286"/>
      <c r="W321" s="286"/>
      <c r="X321" s="286"/>
      <c r="Y321" s="286"/>
      <c r="Z321" s="286"/>
      <c r="AA321" s="286"/>
      <c r="AB321" s="286"/>
      <c r="AC321" s="286"/>
      <c r="AD321" s="286"/>
      <c r="AE321" s="286"/>
      <c r="AF321" s="286"/>
      <c r="AG321" s="286"/>
      <c r="AH321" s="286"/>
      <c r="AI321" s="286"/>
      <c r="AJ321" s="286"/>
      <c r="AK321" s="287"/>
      <c r="AL321" s="288"/>
      <c r="AM321" s="287"/>
      <c r="AN321" s="287"/>
      <c r="AO321" s="287"/>
      <c r="AP321" s="286"/>
      <c r="AQ321" s="296"/>
      <c r="AR321" s="286"/>
      <c r="AS321" s="286"/>
      <c r="AT321" s="286"/>
      <c r="AU321" s="286"/>
      <c r="AV321" s="286"/>
      <c r="AW321" s="286"/>
      <c r="AX321" s="286"/>
      <c r="AY321" s="286"/>
      <c r="AZ321" s="286"/>
      <c r="BA321" s="286"/>
      <c r="BB321" s="286"/>
      <c r="BC321" s="286"/>
      <c r="BD321" s="287"/>
      <c r="BE321" s="287"/>
      <c r="BF321" s="287"/>
      <c r="BG321" s="287"/>
      <c r="BH321" s="287"/>
      <c r="BI321" s="287"/>
      <c r="BJ321" s="287"/>
      <c r="BK321" s="287"/>
      <c r="BL321" s="287"/>
      <c r="BM321" s="287"/>
      <c r="BN321" s="287"/>
      <c r="BO321" s="287"/>
      <c r="BP321" s="287"/>
      <c r="BQ321" s="287"/>
      <c r="BR321" s="287"/>
      <c r="BS321" s="287"/>
      <c r="BT321" s="287"/>
      <c r="BU321" s="287"/>
      <c r="BV321" s="287"/>
      <c r="BW321" s="287"/>
      <c r="BX321" s="286"/>
      <c r="BY321" s="289"/>
      <c r="BZ321" s="289">
        <v>25</v>
      </c>
      <c r="CA321" s="289"/>
      <c r="CB321" s="289"/>
      <c r="CC321" s="289"/>
      <c r="CD321" s="289"/>
      <c r="CE321" s="289"/>
      <c r="CF321" s="289"/>
      <c r="CG321" s="287"/>
      <c r="CH321" s="287"/>
      <c r="CI321" s="287"/>
      <c r="CJ321" s="287"/>
      <c r="CK321" s="287"/>
      <c r="CL321" s="287"/>
      <c r="CM321" s="287"/>
      <c r="CN321" s="287"/>
      <c r="CO321" s="287"/>
      <c r="CP321" s="287"/>
      <c r="CQ321" s="287"/>
      <c r="CR321" s="287"/>
      <c r="CS321" s="6"/>
      <c r="CT321" s="6"/>
      <c r="CU321" s="6"/>
      <c r="CV321" s="6"/>
      <c r="CW321" s="6"/>
      <c r="CX321" s="6"/>
      <c r="CY321" s="6"/>
      <c r="CZ321" s="6"/>
      <c r="DA321" s="343">
        <f t="shared" si="14"/>
        <v>37.5</v>
      </c>
    </row>
    <row r="322" spans="1:105" ht="20" customHeight="1" x14ac:dyDescent="0.35">
      <c r="A322" s="301"/>
      <c r="B322" s="270" t="s">
        <v>1150</v>
      </c>
      <c r="C322" s="270" t="s">
        <v>1624</v>
      </c>
      <c r="D322" s="320" t="s">
        <v>630</v>
      </c>
      <c r="E322" s="270" t="s">
        <v>34</v>
      </c>
      <c r="F322" s="270" t="s">
        <v>1151</v>
      </c>
      <c r="G322" s="270" t="s">
        <v>44</v>
      </c>
      <c r="H322" s="298">
        <v>8.9</v>
      </c>
      <c r="I322" s="286"/>
      <c r="J322" s="286"/>
      <c r="K322" s="286"/>
      <c r="L322" s="286"/>
      <c r="M322" s="286"/>
      <c r="N322" s="286"/>
      <c r="O322" s="286"/>
      <c r="P322" s="286"/>
      <c r="Q322" s="286"/>
      <c r="R322" s="286"/>
      <c r="S322" s="286"/>
      <c r="T322" s="286"/>
      <c r="U322" s="286"/>
      <c r="V322" s="286"/>
      <c r="W322" s="286"/>
      <c r="X322" s="286"/>
      <c r="Y322" s="286"/>
      <c r="Z322" s="286"/>
      <c r="AA322" s="286"/>
      <c r="AB322" s="286"/>
      <c r="AC322" s="286"/>
      <c r="AD322" s="286"/>
      <c r="AE322" s="286"/>
      <c r="AF322" s="286"/>
      <c r="AG322" s="286"/>
      <c r="AH322" s="286"/>
      <c r="AI322" s="286"/>
      <c r="AJ322" s="286"/>
      <c r="AK322" s="287"/>
      <c r="AL322" s="288"/>
      <c r="AM322" s="287"/>
      <c r="AN322" s="287"/>
      <c r="AO322" s="287"/>
      <c r="AP322" s="286"/>
      <c r="AQ322" s="296"/>
      <c r="AR322" s="286"/>
      <c r="AS322" s="286"/>
      <c r="AT322" s="286"/>
      <c r="AU322" s="286"/>
      <c r="AV322" s="286"/>
      <c r="AW322" s="286"/>
      <c r="AX322" s="286"/>
      <c r="AY322" s="286"/>
      <c r="AZ322" s="286"/>
      <c r="BA322" s="286"/>
      <c r="BB322" s="286"/>
      <c r="BC322" s="286"/>
      <c r="BD322" s="287"/>
      <c r="BE322" s="287"/>
      <c r="BF322" s="287"/>
      <c r="BG322" s="287"/>
      <c r="BH322" s="287"/>
      <c r="BI322" s="287"/>
      <c r="BJ322" s="287"/>
      <c r="BK322" s="287"/>
      <c r="BL322" s="287"/>
      <c r="BM322" s="287"/>
      <c r="BN322" s="287"/>
      <c r="BO322" s="287"/>
      <c r="BP322" s="287"/>
      <c r="BQ322" s="287"/>
      <c r="BR322" s="287"/>
      <c r="BS322" s="287"/>
      <c r="BT322" s="287"/>
      <c r="BU322" s="287"/>
      <c r="BV322" s="287"/>
      <c r="BW322" s="287"/>
      <c r="BX322" s="286"/>
      <c r="BY322" s="289"/>
      <c r="BZ322" s="289"/>
      <c r="CA322" s="289"/>
      <c r="CB322" s="289"/>
      <c r="CC322" s="289"/>
      <c r="CD322" s="289"/>
      <c r="CE322" s="289"/>
      <c r="CF322" s="289"/>
      <c r="CG322" s="287"/>
      <c r="CH322" s="287"/>
      <c r="CI322" s="287"/>
      <c r="CJ322" s="287"/>
      <c r="CK322" s="287"/>
      <c r="CL322" s="287"/>
      <c r="CM322" s="287"/>
      <c r="CN322" s="287"/>
      <c r="CO322" s="287"/>
      <c r="CP322" s="287"/>
      <c r="CQ322" s="287"/>
      <c r="CR322" s="287"/>
      <c r="CS322" s="6"/>
      <c r="CT322" s="6"/>
      <c r="CU322" s="6"/>
      <c r="CV322" s="6"/>
      <c r="CW322" s="6"/>
      <c r="CX322" s="6"/>
      <c r="CY322" s="6"/>
      <c r="CZ322" s="6"/>
      <c r="DA322" s="343">
        <f t="shared" si="14"/>
        <v>8.9</v>
      </c>
    </row>
    <row r="323" spans="1:105" ht="20" customHeight="1" x14ac:dyDescent="0.35">
      <c r="A323" s="301"/>
      <c r="B323" s="270" t="s">
        <v>1156</v>
      </c>
      <c r="C323" s="270" t="s">
        <v>1625</v>
      </c>
      <c r="D323" s="320"/>
      <c r="E323" s="270" t="s">
        <v>34</v>
      </c>
      <c r="F323" s="270" t="s">
        <v>556</v>
      </c>
      <c r="G323" s="270" t="s">
        <v>44</v>
      </c>
      <c r="H323" s="298">
        <f>5.5/5</f>
        <v>1.1000000000000001</v>
      </c>
      <c r="I323" s="286"/>
      <c r="J323" s="286"/>
      <c r="K323" s="286"/>
      <c r="L323" s="286"/>
      <c r="M323" s="286"/>
      <c r="N323" s="286"/>
      <c r="O323" s="286"/>
      <c r="P323" s="286">
        <v>2.5</v>
      </c>
      <c r="Q323" s="286"/>
      <c r="R323" s="286"/>
      <c r="S323" s="286"/>
      <c r="T323" s="286"/>
      <c r="U323" s="286"/>
      <c r="V323" s="286"/>
      <c r="W323" s="286"/>
      <c r="X323" s="286"/>
      <c r="Y323" s="286"/>
      <c r="Z323" s="286"/>
      <c r="AA323" s="286"/>
      <c r="AB323" s="286"/>
      <c r="AC323" s="286"/>
      <c r="AD323" s="286"/>
      <c r="AE323" s="286"/>
      <c r="AF323" s="286"/>
      <c r="AG323" s="286"/>
      <c r="AH323" s="286"/>
      <c r="AI323" s="286"/>
      <c r="AJ323" s="286"/>
      <c r="AK323" s="287"/>
      <c r="AL323" s="288"/>
      <c r="AM323" s="287"/>
      <c r="AN323" s="287"/>
      <c r="AO323" s="287"/>
      <c r="AP323" s="286"/>
      <c r="AQ323" s="296"/>
      <c r="AR323" s="286"/>
      <c r="AS323" s="286"/>
      <c r="AT323" s="286"/>
      <c r="AU323" s="286"/>
      <c r="AV323" s="286"/>
      <c r="AW323" s="286"/>
      <c r="AX323" s="286"/>
      <c r="AY323" s="286"/>
      <c r="AZ323" s="286"/>
      <c r="BA323" s="286"/>
      <c r="BB323" s="286"/>
      <c r="BC323" s="286"/>
      <c r="BD323" s="287"/>
      <c r="BE323" s="287"/>
      <c r="BF323" s="287"/>
      <c r="BG323" s="287"/>
      <c r="BH323" s="287"/>
      <c r="BI323" s="287"/>
      <c r="BJ323" s="287"/>
      <c r="BK323" s="287"/>
      <c r="BL323" s="287"/>
      <c r="BM323" s="287"/>
      <c r="BN323" s="287"/>
      <c r="BO323" s="287"/>
      <c r="BP323" s="287"/>
      <c r="BQ323" s="287"/>
      <c r="BR323" s="287"/>
      <c r="BS323" s="287"/>
      <c r="BT323" s="287"/>
      <c r="BU323" s="287"/>
      <c r="BV323" s="287"/>
      <c r="BW323" s="287"/>
      <c r="BX323" s="286"/>
      <c r="BY323" s="289"/>
      <c r="BZ323" s="289"/>
      <c r="CA323" s="289"/>
      <c r="CB323" s="289"/>
      <c r="CC323" s="289"/>
      <c r="CD323" s="289"/>
      <c r="CE323" s="289"/>
      <c r="CF323" s="289"/>
      <c r="CG323" s="287"/>
      <c r="CH323" s="287"/>
      <c r="CI323" s="287"/>
      <c r="CJ323" s="287"/>
      <c r="CK323" s="287"/>
      <c r="CL323" s="287"/>
      <c r="CM323" s="287"/>
      <c r="CN323" s="287"/>
      <c r="CO323" s="287"/>
      <c r="CP323" s="287"/>
      <c r="CQ323" s="287"/>
      <c r="CR323" s="287"/>
      <c r="CS323" s="6"/>
      <c r="CT323" s="6"/>
      <c r="CU323" s="6"/>
      <c r="CV323" s="6"/>
      <c r="CW323" s="6"/>
      <c r="CX323" s="6"/>
      <c r="CY323" s="6"/>
      <c r="CZ323" s="6"/>
      <c r="DA323" s="343">
        <f t="shared" si="14"/>
        <v>1.1000000000000001</v>
      </c>
    </row>
    <row r="324" spans="1:105" ht="20" customHeight="1" x14ac:dyDescent="0.35">
      <c r="A324" s="301">
        <v>520713</v>
      </c>
      <c r="B324" s="270" t="s">
        <v>1158</v>
      </c>
      <c r="C324" s="270" t="s">
        <v>1626</v>
      </c>
      <c r="D324" s="320" t="s">
        <v>630</v>
      </c>
      <c r="E324" s="320" t="s">
        <v>630</v>
      </c>
      <c r="F324" s="270" t="s">
        <v>62</v>
      </c>
      <c r="G324" s="270" t="s">
        <v>44</v>
      </c>
      <c r="H324" s="298">
        <v>17</v>
      </c>
      <c r="I324" s="300">
        <v>22</v>
      </c>
      <c r="J324" s="286"/>
      <c r="K324" s="286"/>
      <c r="L324" s="286"/>
      <c r="M324" s="286"/>
      <c r="N324" s="286"/>
      <c r="O324" s="286"/>
      <c r="P324" s="286"/>
      <c r="Q324" s="286">
        <v>25</v>
      </c>
      <c r="R324" s="286"/>
      <c r="S324" s="286"/>
      <c r="T324" s="286"/>
      <c r="U324" s="286"/>
      <c r="V324" s="286"/>
      <c r="W324" s="286"/>
      <c r="X324" s="286"/>
      <c r="Y324" s="286"/>
      <c r="Z324" s="286"/>
      <c r="AA324" s="286"/>
      <c r="AB324" s="286"/>
      <c r="AC324" s="286"/>
      <c r="AD324" s="286"/>
      <c r="AE324" s="286"/>
      <c r="AF324" s="286"/>
      <c r="AG324" s="286"/>
      <c r="AH324" s="286"/>
      <c r="AI324" s="286"/>
      <c r="AJ324" s="286"/>
      <c r="AK324" s="287"/>
      <c r="AL324" s="288"/>
      <c r="AM324" s="287"/>
      <c r="AN324" s="287"/>
      <c r="AO324" s="287"/>
      <c r="AP324" s="286"/>
      <c r="AQ324" s="296"/>
      <c r="AR324" s="286"/>
      <c r="AS324" s="286"/>
      <c r="AT324" s="286"/>
      <c r="AU324" s="286"/>
      <c r="AV324" s="286"/>
      <c r="AW324" s="286"/>
      <c r="AX324" s="286"/>
      <c r="AY324" s="286"/>
      <c r="AZ324" s="286"/>
      <c r="BA324" s="286"/>
      <c r="BB324" s="286"/>
      <c r="BC324" s="286"/>
      <c r="BD324" s="287"/>
      <c r="BE324" s="287"/>
      <c r="BF324" s="287"/>
      <c r="BG324" s="287"/>
      <c r="BH324" s="287"/>
      <c r="BI324" s="287"/>
      <c r="BJ324" s="287"/>
      <c r="BK324" s="287"/>
      <c r="BL324" s="287"/>
      <c r="BM324" s="287"/>
      <c r="BN324" s="287"/>
      <c r="BO324" s="287"/>
      <c r="BP324" s="287"/>
      <c r="BQ324" s="287"/>
      <c r="BR324" s="287"/>
      <c r="BS324" s="287"/>
      <c r="BT324" s="287"/>
      <c r="BU324" s="287"/>
      <c r="BV324" s="287"/>
      <c r="BW324" s="287"/>
      <c r="BX324" s="286"/>
      <c r="BY324" s="289"/>
      <c r="BZ324" s="289"/>
      <c r="CA324" s="289"/>
      <c r="CB324" s="289"/>
      <c r="CC324" s="289"/>
      <c r="CD324" s="289"/>
      <c r="CE324" s="289">
        <v>20</v>
      </c>
      <c r="CF324" s="289"/>
      <c r="CG324" s="287"/>
      <c r="CH324" s="287"/>
      <c r="CI324" s="287"/>
      <c r="CJ324" s="287"/>
      <c r="CK324" s="287"/>
      <c r="CL324" s="287">
        <v>26</v>
      </c>
      <c r="CM324" s="287"/>
      <c r="CN324" s="287"/>
      <c r="CO324" s="287"/>
      <c r="CP324" s="287"/>
      <c r="CQ324" s="287">
        <v>24</v>
      </c>
      <c r="CR324" s="287"/>
      <c r="CS324" s="296">
        <v>20</v>
      </c>
      <c r="CT324" s="6"/>
      <c r="CU324" s="6"/>
      <c r="CV324" s="6"/>
      <c r="CW324" s="6"/>
      <c r="CX324" s="6"/>
      <c r="CY324" s="6"/>
      <c r="CZ324" s="6"/>
      <c r="DA324" s="343">
        <f t="shared" si="14"/>
        <v>17</v>
      </c>
    </row>
    <row r="325" spans="1:105" ht="20" customHeight="1" x14ac:dyDescent="0.35">
      <c r="A325" s="301"/>
      <c r="B325" s="270" t="s">
        <v>1222</v>
      </c>
      <c r="C325" s="270" t="s">
        <v>1627</v>
      </c>
      <c r="D325" s="320" t="s">
        <v>630</v>
      </c>
      <c r="E325" s="320" t="s">
        <v>630</v>
      </c>
      <c r="F325" s="270" t="s">
        <v>553</v>
      </c>
      <c r="G325" s="270" t="s">
        <v>44</v>
      </c>
      <c r="H325" s="298">
        <f>4.2*25</f>
        <v>105</v>
      </c>
      <c r="I325" s="286"/>
      <c r="J325" s="292">
        <v>110</v>
      </c>
      <c r="K325" s="286"/>
      <c r="L325" s="286"/>
      <c r="M325" s="286"/>
      <c r="N325" s="286"/>
      <c r="O325" s="286"/>
      <c r="P325" s="286"/>
      <c r="Q325" s="286"/>
      <c r="R325" s="286"/>
      <c r="S325" s="286"/>
      <c r="T325" s="286"/>
      <c r="U325" s="286"/>
      <c r="V325" s="286"/>
      <c r="W325" s="286"/>
      <c r="X325" s="286"/>
      <c r="Y325" s="286"/>
      <c r="Z325" s="286"/>
      <c r="AA325" s="286"/>
      <c r="AB325" s="286"/>
      <c r="AC325" s="286"/>
      <c r="AD325" s="286"/>
      <c r="AE325" s="286"/>
      <c r="AF325" s="286"/>
      <c r="AG325" s="286"/>
      <c r="AH325" s="286"/>
      <c r="AI325" s="286"/>
      <c r="AJ325" s="286"/>
      <c r="AK325" s="287"/>
      <c r="AL325" s="288"/>
      <c r="AM325" s="287"/>
      <c r="AN325" s="287"/>
      <c r="AO325" s="287"/>
      <c r="AP325" s="286"/>
      <c r="AQ325" s="296"/>
      <c r="AR325" s="286"/>
      <c r="AS325" s="286"/>
      <c r="AT325" s="286"/>
      <c r="AU325" s="286"/>
      <c r="AV325" s="286"/>
      <c r="AW325" s="286"/>
      <c r="AX325" s="286"/>
      <c r="AY325" s="286"/>
      <c r="AZ325" s="286"/>
      <c r="BA325" s="286"/>
      <c r="BB325" s="286"/>
      <c r="BC325" s="286"/>
      <c r="BD325" s="287"/>
      <c r="BE325" s="287"/>
      <c r="BF325" s="287"/>
      <c r="BG325" s="287"/>
      <c r="BH325" s="287"/>
      <c r="BI325" s="287"/>
      <c r="BJ325" s="287"/>
      <c r="BK325" s="287"/>
      <c r="BL325" s="287"/>
      <c r="BM325" s="287"/>
      <c r="BN325" s="287"/>
      <c r="BO325" s="287"/>
      <c r="BP325" s="287"/>
      <c r="BQ325" s="287"/>
      <c r="BR325" s="287"/>
      <c r="BS325" s="287"/>
      <c r="BT325" s="287"/>
      <c r="BU325" s="287"/>
      <c r="BV325" s="287"/>
      <c r="BW325" s="287"/>
      <c r="BX325" s="286"/>
      <c r="BY325" s="289"/>
      <c r="BZ325" s="289"/>
      <c r="CA325" s="289"/>
      <c r="CB325" s="289"/>
      <c r="CC325" s="289"/>
      <c r="CD325" s="289"/>
      <c r="CE325" s="289"/>
      <c r="CF325" s="289"/>
      <c r="CG325" s="287"/>
      <c r="CH325" s="287"/>
      <c r="CI325" s="287"/>
      <c r="CJ325" s="287"/>
      <c r="CK325" s="287"/>
      <c r="CL325" s="287"/>
      <c r="CM325" s="287"/>
      <c r="CN325" s="287"/>
      <c r="CO325" s="287"/>
      <c r="CP325" s="287"/>
      <c r="CQ325" s="287"/>
      <c r="CR325" s="287"/>
      <c r="CS325" s="6"/>
      <c r="CT325" s="6"/>
      <c r="CU325" s="6"/>
      <c r="CV325" s="6"/>
      <c r="CW325" s="6"/>
      <c r="CX325" s="6"/>
      <c r="CY325" s="6"/>
      <c r="CZ325" s="6"/>
      <c r="DA325" s="343">
        <f t="shared" si="14"/>
        <v>105</v>
      </c>
    </row>
    <row r="326" spans="1:105" ht="20" customHeight="1" x14ac:dyDescent="0.35">
      <c r="A326" s="301"/>
      <c r="B326" s="270" t="s">
        <v>1911</v>
      </c>
      <c r="C326" s="270" t="s">
        <v>1627</v>
      </c>
      <c r="D326" s="320" t="s">
        <v>630</v>
      </c>
      <c r="E326" s="320" t="s">
        <v>630</v>
      </c>
      <c r="F326" s="270" t="s">
        <v>556</v>
      </c>
      <c r="G326" s="270" t="s">
        <v>44</v>
      </c>
      <c r="H326" s="298">
        <f>H325/25*3</f>
        <v>12.600000000000001</v>
      </c>
      <c r="I326" s="286"/>
      <c r="J326" s="292">
        <v>15</v>
      </c>
      <c r="K326" s="286"/>
      <c r="L326" s="286"/>
      <c r="M326" s="286"/>
      <c r="N326" s="286"/>
      <c r="O326" s="286"/>
      <c r="P326" s="286"/>
      <c r="Q326" s="286"/>
      <c r="R326" s="286"/>
      <c r="S326" s="286"/>
      <c r="T326" s="286"/>
      <c r="U326" s="286"/>
      <c r="V326" s="286"/>
      <c r="W326" s="286"/>
      <c r="X326" s="286"/>
      <c r="Y326" s="286"/>
      <c r="Z326" s="286"/>
      <c r="AA326" s="286"/>
      <c r="AB326" s="286"/>
      <c r="AC326" s="286"/>
      <c r="AD326" s="286"/>
      <c r="AE326" s="286"/>
      <c r="AF326" s="286"/>
      <c r="AG326" s="286"/>
      <c r="AH326" s="286"/>
      <c r="AI326" s="286"/>
      <c r="AJ326" s="286"/>
      <c r="AK326" s="287"/>
      <c r="AL326" s="288"/>
      <c r="AM326" s="287"/>
      <c r="AN326" s="287"/>
      <c r="AO326" s="287"/>
      <c r="AP326" s="286"/>
      <c r="AQ326" s="296"/>
      <c r="AR326" s="286"/>
      <c r="AS326" s="286"/>
      <c r="AT326" s="286"/>
      <c r="AU326" s="286"/>
      <c r="AV326" s="286"/>
      <c r="AW326" s="286"/>
      <c r="AX326" s="286"/>
      <c r="AY326" s="286"/>
      <c r="AZ326" s="286">
        <f>J326</f>
        <v>15</v>
      </c>
      <c r="BA326" s="286"/>
      <c r="BB326" s="286"/>
      <c r="BC326" s="286"/>
      <c r="BD326" s="287"/>
      <c r="BE326" s="287"/>
      <c r="BF326" s="287"/>
      <c r="BG326" s="287"/>
      <c r="BH326" s="287"/>
      <c r="BI326" s="287"/>
      <c r="BJ326" s="287"/>
      <c r="BK326" s="287"/>
      <c r="BL326" s="287"/>
      <c r="BM326" s="287"/>
      <c r="BN326" s="287"/>
      <c r="BO326" s="287"/>
      <c r="BP326" s="287"/>
      <c r="BQ326" s="287"/>
      <c r="BR326" s="287"/>
      <c r="BS326" s="287"/>
      <c r="BT326" s="287"/>
      <c r="BU326" s="287"/>
      <c r="BV326" s="287"/>
      <c r="BW326" s="287"/>
      <c r="BX326" s="286"/>
      <c r="BY326" s="289"/>
      <c r="BZ326" s="289"/>
      <c r="CA326" s="289"/>
      <c r="CB326" s="289"/>
      <c r="CC326" s="289"/>
      <c r="CD326" s="289"/>
      <c r="CE326" s="289"/>
      <c r="CF326" s="289"/>
      <c r="CG326" s="287"/>
      <c r="CH326" s="287"/>
      <c r="CI326" s="287"/>
      <c r="CJ326" s="287"/>
      <c r="CK326" s="287"/>
      <c r="CL326" s="287"/>
      <c r="CM326" s="287"/>
      <c r="CN326" s="287"/>
      <c r="CO326" s="287"/>
      <c r="CP326" s="287"/>
      <c r="CQ326" s="287"/>
      <c r="CR326" s="287"/>
      <c r="CS326" s="6"/>
      <c r="CT326" s="6"/>
      <c r="CU326" s="6"/>
      <c r="CV326" s="6"/>
      <c r="CW326" s="6"/>
      <c r="CX326" s="6"/>
      <c r="CY326" s="6"/>
      <c r="CZ326" s="6"/>
      <c r="DA326" s="343">
        <f>H326</f>
        <v>12.600000000000001</v>
      </c>
    </row>
    <row r="327" spans="1:105" ht="20" customHeight="1" x14ac:dyDescent="0.35">
      <c r="A327" s="301"/>
      <c r="B327" s="270" t="s">
        <v>2112</v>
      </c>
      <c r="C327" s="270" t="s">
        <v>1627</v>
      </c>
      <c r="D327" s="320" t="s">
        <v>630</v>
      </c>
      <c r="E327" s="320" t="s">
        <v>630</v>
      </c>
      <c r="F327" s="270" t="s">
        <v>553</v>
      </c>
      <c r="G327" s="270" t="s">
        <v>44</v>
      </c>
      <c r="H327" s="298">
        <f>4.2*25</f>
        <v>105</v>
      </c>
      <c r="I327" s="286"/>
      <c r="J327" s="292">
        <v>105</v>
      </c>
      <c r="K327" s="286"/>
      <c r="L327" s="286"/>
      <c r="M327" s="286"/>
      <c r="N327" s="286"/>
      <c r="O327" s="286"/>
      <c r="P327" s="286"/>
      <c r="Q327" s="286"/>
      <c r="R327" s="286"/>
      <c r="S327" s="286"/>
      <c r="T327" s="286"/>
      <c r="U327" s="286"/>
      <c r="V327" s="286"/>
      <c r="W327" s="286"/>
      <c r="X327" s="286"/>
      <c r="Y327" s="286"/>
      <c r="Z327" s="286"/>
      <c r="AA327" s="286"/>
      <c r="AB327" s="286"/>
      <c r="AC327" s="286"/>
      <c r="AD327" s="286"/>
      <c r="AE327" s="286"/>
      <c r="AF327" s="286"/>
      <c r="AG327" s="286"/>
      <c r="AH327" s="286"/>
      <c r="AI327" s="286"/>
      <c r="AJ327" s="286"/>
      <c r="AK327" s="287"/>
      <c r="AL327" s="288"/>
      <c r="AM327" s="287"/>
      <c r="AN327" s="287"/>
      <c r="AO327" s="287"/>
      <c r="AP327" s="286"/>
      <c r="AQ327" s="296"/>
      <c r="AR327" s="286"/>
      <c r="AS327" s="286"/>
      <c r="AT327" s="286"/>
      <c r="AU327" s="286"/>
      <c r="AV327" s="286"/>
      <c r="AW327" s="286"/>
      <c r="AX327" s="286"/>
      <c r="AY327" s="286"/>
      <c r="AZ327" s="286"/>
      <c r="BA327" s="286"/>
      <c r="BB327" s="286"/>
      <c r="BC327" s="286"/>
      <c r="BD327" s="287"/>
      <c r="BE327" s="287"/>
      <c r="BF327" s="287"/>
      <c r="BG327" s="287"/>
      <c r="BH327" s="287"/>
      <c r="BI327" s="287"/>
      <c r="BJ327" s="287"/>
      <c r="BK327" s="287"/>
      <c r="BL327" s="287"/>
      <c r="BM327" s="287"/>
      <c r="BN327" s="287"/>
      <c r="BO327" s="287"/>
      <c r="BP327" s="287"/>
      <c r="BQ327" s="287"/>
      <c r="BR327" s="287"/>
      <c r="BS327" s="287"/>
      <c r="BT327" s="287"/>
      <c r="BU327" s="287"/>
      <c r="BV327" s="287"/>
      <c r="BW327" s="287"/>
      <c r="BX327" s="286"/>
      <c r="BY327" s="289"/>
      <c r="BZ327" s="289"/>
      <c r="CA327" s="289"/>
      <c r="CB327" s="289"/>
      <c r="CC327" s="289"/>
      <c r="CD327" s="289"/>
      <c r="CE327" s="289"/>
      <c r="CF327" s="289"/>
      <c r="CG327" s="287"/>
      <c r="CH327" s="287"/>
      <c r="CI327" s="287"/>
      <c r="CJ327" s="287"/>
      <c r="CK327" s="287"/>
      <c r="CL327" s="287"/>
      <c r="CM327" s="287"/>
      <c r="CN327" s="287"/>
      <c r="CO327" s="287"/>
      <c r="CP327" s="287"/>
      <c r="CQ327" s="287"/>
      <c r="CR327" s="287"/>
      <c r="CS327" s="6"/>
      <c r="CT327" s="6"/>
      <c r="CU327" s="6"/>
      <c r="CV327" s="6"/>
      <c r="CW327" s="6"/>
      <c r="CX327" s="6"/>
      <c r="CY327" s="6"/>
      <c r="CZ327" s="6"/>
      <c r="DA327" s="343">
        <f>H327</f>
        <v>105</v>
      </c>
    </row>
    <row r="328" spans="1:105" ht="20" customHeight="1" x14ac:dyDescent="0.35">
      <c r="A328" s="301"/>
      <c r="B328" s="270" t="s">
        <v>1267</v>
      </c>
      <c r="C328" s="270" t="s">
        <v>1421</v>
      </c>
      <c r="D328" s="320" t="s">
        <v>1422</v>
      </c>
      <c r="E328" s="270" t="s">
        <v>34</v>
      </c>
      <c r="F328" s="270" t="s">
        <v>1423</v>
      </c>
      <c r="G328" s="270" t="s">
        <v>44</v>
      </c>
      <c r="H328" s="298">
        <v>6.9</v>
      </c>
      <c r="I328" s="286"/>
      <c r="J328" s="286"/>
      <c r="K328" s="286"/>
      <c r="L328" s="286"/>
      <c r="M328" s="286"/>
      <c r="N328" s="286"/>
      <c r="O328" s="286"/>
      <c r="P328" s="286"/>
      <c r="Q328" s="286"/>
      <c r="R328" s="286"/>
      <c r="S328" s="286"/>
      <c r="T328" s="286"/>
      <c r="U328" s="286"/>
      <c r="V328" s="286"/>
      <c r="W328" s="286"/>
      <c r="X328" s="286"/>
      <c r="Y328" s="286"/>
      <c r="Z328" s="286"/>
      <c r="AA328" s="286"/>
      <c r="AB328" s="286"/>
      <c r="AC328" s="286"/>
      <c r="AD328" s="286">
        <v>6</v>
      </c>
      <c r="AE328" s="286"/>
      <c r="AF328" s="286"/>
      <c r="AG328" s="286"/>
      <c r="AH328" s="286"/>
      <c r="AI328" s="286"/>
      <c r="AJ328" s="286"/>
      <c r="AK328" s="287"/>
      <c r="AL328" s="288"/>
      <c r="AM328" s="287"/>
      <c r="AN328" s="287"/>
      <c r="AO328" s="287"/>
      <c r="AP328" s="286"/>
      <c r="AQ328" s="296"/>
      <c r="AR328" s="286"/>
      <c r="AS328" s="286"/>
      <c r="AT328" s="286"/>
      <c r="AU328" s="286"/>
      <c r="AV328" s="286"/>
      <c r="AW328" s="286"/>
      <c r="AX328" s="286"/>
      <c r="AY328" s="286"/>
      <c r="AZ328" s="286"/>
      <c r="BA328" s="286"/>
      <c r="BB328" s="286"/>
      <c r="BC328" s="286"/>
      <c r="BD328" s="287"/>
      <c r="BE328" s="287"/>
      <c r="BF328" s="287"/>
      <c r="BG328" s="288">
        <v>9.5</v>
      </c>
      <c r="BH328" s="287"/>
      <c r="BI328" s="287"/>
      <c r="BJ328" s="287"/>
      <c r="BK328" s="287"/>
      <c r="BL328" s="287"/>
      <c r="BM328" s="287"/>
      <c r="BN328" s="287"/>
      <c r="BO328" s="287"/>
      <c r="BP328" s="287"/>
      <c r="BQ328" s="287"/>
      <c r="BR328" s="287"/>
      <c r="BS328" s="287"/>
      <c r="BT328" s="287"/>
      <c r="BU328" s="287"/>
      <c r="BV328" s="287"/>
      <c r="BW328" s="287"/>
      <c r="BX328" s="286"/>
      <c r="BY328" s="289"/>
      <c r="BZ328" s="289"/>
      <c r="CA328" s="289"/>
      <c r="CB328" s="289"/>
      <c r="CC328" s="289"/>
      <c r="CD328" s="289"/>
      <c r="CE328" s="289"/>
      <c r="CF328" s="289"/>
      <c r="CG328" s="287"/>
      <c r="CH328" s="287"/>
      <c r="CI328" s="287"/>
      <c r="CJ328" s="287"/>
      <c r="CK328" s="287"/>
      <c r="CL328" s="287"/>
      <c r="CM328" s="287"/>
      <c r="CN328" s="287"/>
      <c r="CO328" s="287"/>
      <c r="CP328" s="287"/>
      <c r="CQ328" s="287">
        <v>10</v>
      </c>
      <c r="CR328" s="287"/>
      <c r="CS328" s="6"/>
      <c r="CT328" s="6"/>
      <c r="CU328" s="6"/>
      <c r="CV328" s="6"/>
      <c r="CW328" s="6"/>
      <c r="CX328" s="6"/>
      <c r="CY328" s="6"/>
      <c r="CZ328" s="6"/>
      <c r="DA328" s="343">
        <f t="shared" si="14"/>
        <v>6.9</v>
      </c>
    </row>
    <row r="329" spans="1:105" ht="20" customHeight="1" x14ac:dyDescent="0.35">
      <c r="A329" s="301"/>
      <c r="B329" s="270" t="s">
        <v>1504</v>
      </c>
      <c r="C329" s="270" t="s">
        <v>1628</v>
      </c>
      <c r="D329" s="320" t="s">
        <v>604</v>
      </c>
      <c r="E329" s="320" t="s">
        <v>1505</v>
      </c>
      <c r="F329" s="270" t="s">
        <v>1336</v>
      </c>
      <c r="G329" s="270" t="s">
        <v>44</v>
      </c>
      <c r="H329" s="298">
        <v>4.8</v>
      </c>
      <c r="I329" s="286"/>
      <c r="J329" s="286"/>
      <c r="K329" s="286"/>
      <c r="L329" s="286"/>
      <c r="M329" s="286"/>
      <c r="N329" s="286"/>
      <c r="O329" s="286"/>
      <c r="P329" s="286"/>
      <c r="Q329" s="286"/>
      <c r="R329" s="286"/>
      <c r="S329" s="286"/>
      <c r="T329" s="286"/>
      <c r="U329" s="286"/>
      <c r="V329" s="286"/>
      <c r="W329" s="286"/>
      <c r="X329" s="286"/>
      <c r="Y329" s="286"/>
      <c r="Z329" s="286"/>
      <c r="AA329" s="286"/>
      <c r="AB329" s="286"/>
      <c r="AC329" s="286"/>
      <c r="AD329" s="286"/>
      <c r="AE329" s="286"/>
      <c r="AF329" s="286"/>
      <c r="AG329" s="286"/>
      <c r="AH329" s="286"/>
      <c r="AI329" s="286"/>
      <c r="AJ329" s="286"/>
      <c r="AK329" s="287">
        <v>5.3</v>
      </c>
      <c r="AL329" s="288"/>
      <c r="AM329" s="287"/>
      <c r="AN329" s="287"/>
      <c r="AO329" s="287"/>
      <c r="AP329" s="286"/>
      <c r="AQ329" s="296"/>
      <c r="AR329" s="286"/>
      <c r="AS329" s="286"/>
      <c r="AT329" s="286"/>
      <c r="AU329" s="286"/>
      <c r="AV329" s="286"/>
      <c r="AW329" s="286"/>
      <c r="AX329" s="286"/>
      <c r="AY329" s="286"/>
      <c r="AZ329" s="286"/>
      <c r="BA329" s="286"/>
      <c r="BB329" s="286"/>
      <c r="BC329" s="286"/>
      <c r="BD329" s="287"/>
      <c r="BE329" s="287"/>
      <c r="BF329" s="287"/>
      <c r="BG329" s="288"/>
      <c r="BH329" s="287"/>
      <c r="BI329" s="287"/>
      <c r="BJ329" s="287"/>
      <c r="BK329" s="287"/>
      <c r="BL329" s="287"/>
      <c r="BM329" s="287"/>
      <c r="BN329" s="287"/>
      <c r="BO329" s="287"/>
      <c r="BP329" s="287"/>
      <c r="BQ329" s="287"/>
      <c r="BR329" s="287"/>
      <c r="BS329" s="287"/>
      <c r="BT329" s="287"/>
      <c r="BU329" s="287"/>
      <c r="BV329" s="287"/>
      <c r="BW329" s="287"/>
      <c r="BX329" s="286"/>
      <c r="BY329" s="289"/>
      <c r="BZ329" s="289"/>
      <c r="CA329" s="289"/>
      <c r="CB329" s="289"/>
      <c r="CC329" s="289"/>
      <c r="CD329" s="289"/>
      <c r="CE329" s="289"/>
      <c r="CF329" s="289"/>
      <c r="CG329" s="287"/>
      <c r="CH329" s="287"/>
      <c r="CI329" s="287"/>
      <c r="CJ329" s="287"/>
      <c r="CK329" s="287"/>
      <c r="CL329" s="287"/>
      <c r="CM329" s="287"/>
      <c r="CN329" s="287"/>
      <c r="CO329" s="287"/>
      <c r="CP329" s="287"/>
      <c r="CQ329" s="287"/>
      <c r="CR329" s="287"/>
      <c r="CS329" s="6"/>
      <c r="CT329" s="6"/>
      <c r="CU329" s="6"/>
      <c r="CV329" s="6"/>
      <c r="CW329" s="6"/>
      <c r="CX329" s="6"/>
      <c r="CY329" s="6"/>
      <c r="CZ329" s="6"/>
      <c r="DA329" s="343">
        <f t="shared" si="14"/>
        <v>4.8</v>
      </c>
    </row>
    <row r="330" spans="1:105" ht="20" customHeight="1" x14ac:dyDescent="0.35">
      <c r="A330" s="301"/>
      <c r="B330" s="270" t="s">
        <v>1532</v>
      </c>
      <c r="C330" s="270" t="s">
        <v>1534</v>
      </c>
      <c r="D330" s="320" t="s">
        <v>630</v>
      </c>
      <c r="E330" s="320" t="s">
        <v>1533</v>
      </c>
      <c r="F330" s="270" t="s">
        <v>1457</v>
      </c>
      <c r="G330" s="270" t="s">
        <v>44</v>
      </c>
      <c r="H330" s="298">
        <v>6</v>
      </c>
      <c r="I330" s="286"/>
      <c r="J330" s="286"/>
      <c r="K330" s="286"/>
      <c r="L330" s="286"/>
      <c r="M330" s="286"/>
      <c r="N330" s="286"/>
      <c r="O330" s="286"/>
      <c r="P330" s="286"/>
      <c r="Q330" s="286"/>
      <c r="R330" s="286"/>
      <c r="S330" s="286"/>
      <c r="T330" s="286"/>
      <c r="U330" s="286"/>
      <c r="V330" s="286"/>
      <c r="W330" s="286"/>
      <c r="X330" s="286"/>
      <c r="Y330" s="286"/>
      <c r="Z330" s="286"/>
      <c r="AA330" s="286"/>
      <c r="AB330" s="286"/>
      <c r="AC330" s="286"/>
      <c r="AD330" s="286">
        <v>8.4</v>
      </c>
      <c r="AE330" s="286"/>
      <c r="AF330" s="286"/>
      <c r="AG330" s="286"/>
      <c r="AH330" s="286"/>
      <c r="AI330" s="286"/>
      <c r="AJ330" s="286"/>
      <c r="AK330" s="287"/>
      <c r="AL330" s="288"/>
      <c r="AM330" s="287"/>
      <c r="AN330" s="287"/>
      <c r="AO330" s="287"/>
      <c r="AP330" s="286"/>
      <c r="AQ330" s="296"/>
      <c r="AR330" s="286"/>
      <c r="AS330" s="286"/>
      <c r="AT330" s="286"/>
      <c r="AU330" s="286"/>
      <c r="AV330" s="286"/>
      <c r="AW330" s="286"/>
      <c r="AX330" s="286"/>
      <c r="AY330" s="286"/>
      <c r="AZ330" s="286"/>
      <c r="BA330" s="286"/>
      <c r="BB330" s="286"/>
      <c r="BC330" s="286"/>
      <c r="BD330" s="287"/>
      <c r="BE330" s="287"/>
      <c r="BF330" s="287"/>
      <c r="BG330" s="288"/>
      <c r="BH330" s="287"/>
      <c r="BI330" s="287"/>
      <c r="BJ330" s="287"/>
      <c r="BK330" s="287"/>
      <c r="BL330" s="287"/>
      <c r="BM330" s="287"/>
      <c r="BN330" s="287"/>
      <c r="BO330" s="287"/>
      <c r="BP330" s="287"/>
      <c r="BQ330" s="287"/>
      <c r="BR330" s="287"/>
      <c r="BS330" s="287"/>
      <c r="BT330" s="287"/>
      <c r="BU330" s="287"/>
      <c r="BV330" s="287"/>
      <c r="BW330" s="287"/>
      <c r="BX330" s="286"/>
      <c r="BY330" s="289"/>
      <c r="BZ330" s="289"/>
      <c r="CA330" s="289"/>
      <c r="CB330" s="289"/>
      <c r="CC330" s="289"/>
      <c r="CD330" s="289"/>
      <c r="CE330" s="289"/>
      <c r="CF330" s="289"/>
      <c r="CG330" s="287"/>
      <c r="CH330" s="287"/>
      <c r="CI330" s="287"/>
      <c r="CJ330" s="287"/>
      <c r="CK330" s="287"/>
      <c r="CL330" s="287"/>
      <c r="CM330" s="287"/>
      <c r="CN330" s="287"/>
      <c r="CO330" s="287"/>
      <c r="CP330" s="287"/>
      <c r="CQ330" s="287"/>
      <c r="CR330" s="287"/>
      <c r="CS330" s="6"/>
      <c r="CT330" s="6"/>
      <c r="CU330" s="6"/>
      <c r="CV330" s="6"/>
      <c r="CW330" s="6"/>
      <c r="CX330" s="6"/>
      <c r="CY330" s="6"/>
      <c r="CZ330" s="6"/>
      <c r="DA330" s="343">
        <f t="shared" si="14"/>
        <v>6</v>
      </c>
    </row>
    <row r="331" spans="1:105" ht="20" customHeight="1" x14ac:dyDescent="0.35">
      <c r="A331" s="301"/>
      <c r="B331" s="270" t="s">
        <v>1639</v>
      </c>
      <c r="C331" s="270" t="s">
        <v>1534</v>
      </c>
      <c r="D331" s="320" t="s">
        <v>630</v>
      </c>
      <c r="E331" s="320" t="s">
        <v>1533</v>
      </c>
      <c r="F331" s="270" t="s">
        <v>759</v>
      </c>
      <c r="G331" s="270" t="s">
        <v>44</v>
      </c>
      <c r="H331" s="298">
        <v>4</v>
      </c>
      <c r="I331" s="286"/>
      <c r="J331" s="286"/>
      <c r="K331" s="286"/>
      <c r="L331" s="286"/>
      <c r="M331" s="286"/>
      <c r="N331" s="286"/>
      <c r="O331" s="286"/>
      <c r="P331" s="286"/>
      <c r="Q331" s="286"/>
      <c r="R331" s="286"/>
      <c r="S331" s="286"/>
      <c r="T331" s="286"/>
      <c r="U331" s="286"/>
      <c r="V331" s="286"/>
      <c r="W331" s="286"/>
      <c r="X331" s="286"/>
      <c r="Y331" s="286"/>
      <c r="Z331" s="286"/>
      <c r="AA331" s="286"/>
      <c r="AB331" s="286"/>
      <c r="AC331" s="286"/>
      <c r="AD331" s="286">
        <v>5.6</v>
      </c>
      <c r="AE331" s="286"/>
      <c r="AF331" s="286"/>
      <c r="AG331" s="286"/>
      <c r="AH331" s="286"/>
      <c r="AI331" s="286"/>
      <c r="AJ331" s="286"/>
      <c r="AK331" s="287"/>
      <c r="AL331" s="288"/>
      <c r="AM331" s="287"/>
      <c r="AN331" s="287"/>
      <c r="AO331" s="287"/>
      <c r="AP331" s="286"/>
      <c r="AQ331" s="296"/>
      <c r="AR331" s="286"/>
      <c r="AS331" s="286"/>
      <c r="AT331" s="286"/>
      <c r="AU331" s="286"/>
      <c r="AV331" s="286"/>
      <c r="AW331" s="286"/>
      <c r="AX331" s="286"/>
      <c r="AY331" s="286"/>
      <c r="AZ331" s="286"/>
      <c r="BA331" s="286"/>
      <c r="BB331" s="286"/>
      <c r="BC331" s="286"/>
      <c r="BD331" s="287"/>
      <c r="BE331" s="287"/>
      <c r="BF331" s="287"/>
      <c r="BG331" s="288"/>
      <c r="BH331" s="287"/>
      <c r="BI331" s="287"/>
      <c r="BJ331" s="287"/>
      <c r="BK331" s="287"/>
      <c r="BL331" s="287"/>
      <c r="BM331" s="287"/>
      <c r="BN331" s="287"/>
      <c r="BO331" s="287"/>
      <c r="BP331" s="287"/>
      <c r="BQ331" s="287"/>
      <c r="BR331" s="287"/>
      <c r="BS331" s="287"/>
      <c r="BT331" s="287"/>
      <c r="BU331" s="287"/>
      <c r="BV331" s="287"/>
      <c r="BW331" s="287"/>
      <c r="BX331" s="286"/>
      <c r="BY331" s="289"/>
      <c r="BZ331" s="289"/>
      <c r="CA331" s="289"/>
      <c r="CB331" s="289"/>
      <c r="CC331" s="289"/>
      <c r="CD331" s="289"/>
      <c r="CE331" s="289"/>
      <c r="CF331" s="289"/>
      <c r="CG331" s="287"/>
      <c r="CH331" s="287"/>
      <c r="CI331" s="287"/>
      <c r="CJ331" s="287"/>
      <c r="CK331" s="287"/>
      <c r="CL331" s="287"/>
      <c r="CM331" s="287"/>
      <c r="CN331" s="287"/>
      <c r="CO331" s="287"/>
      <c r="CP331" s="287"/>
      <c r="CQ331" s="287"/>
      <c r="CR331" s="287"/>
      <c r="CS331" s="6"/>
      <c r="CT331" s="6"/>
      <c r="CU331" s="6"/>
      <c r="CV331" s="6"/>
      <c r="CW331" s="6"/>
      <c r="CX331" s="6"/>
      <c r="CY331" s="6"/>
      <c r="CZ331" s="6"/>
      <c r="DA331" s="343">
        <f t="shared" si="14"/>
        <v>4</v>
      </c>
    </row>
    <row r="332" spans="1:105" ht="20" customHeight="1" x14ac:dyDescent="0.35">
      <c r="A332" s="301"/>
      <c r="B332" s="270" t="s">
        <v>1740</v>
      </c>
      <c r="C332" s="270" t="s">
        <v>1534</v>
      </c>
      <c r="D332" s="320" t="s">
        <v>630</v>
      </c>
      <c r="E332" s="320" t="s">
        <v>1533</v>
      </c>
      <c r="F332" s="270" t="s">
        <v>599</v>
      </c>
      <c r="G332" s="270" t="s">
        <v>44</v>
      </c>
      <c r="H332" s="298">
        <v>10</v>
      </c>
      <c r="I332" s="286"/>
      <c r="J332" s="286"/>
      <c r="K332" s="286"/>
      <c r="L332" s="286"/>
      <c r="M332" s="286"/>
      <c r="N332" s="286"/>
      <c r="O332" s="286"/>
      <c r="P332" s="286"/>
      <c r="Q332" s="286"/>
      <c r="R332" s="286"/>
      <c r="S332" s="286"/>
      <c r="T332" s="286"/>
      <c r="U332" s="286"/>
      <c r="V332" s="286"/>
      <c r="W332" s="286"/>
      <c r="X332" s="286"/>
      <c r="Y332" s="286"/>
      <c r="Z332" s="286"/>
      <c r="AA332" s="286"/>
      <c r="AB332" s="286"/>
      <c r="AC332" s="286"/>
      <c r="AD332" s="286">
        <v>14</v>
      </c>
      <c r="AE332" s="286"/>
      <c r="AF332" s="286"/>
      <c r="AG332" s="286"/>
      <c r="AH332" s="286"/>
      <c r="AI332" s="286"/>
      <c r="AJ332" s="286"/>
      <c r="AK332" s="287"/>
      <c r="AL332" s="288"/>
      <c r="AM332" s="287"/>
      <c r="AN332" s="287"/>
      <c r="AO332" s="287"/>
      <c r="AP332" s="286"/>
      <c r="AQ332" s="296"/>
      <c r="AR332" s="286"/>
      <c r="AS332" s="286"/>
      <c r="AT332" s="286"/>
      <c r="AU332" s="286"/>
      <c r="AV332" s="286"/>
      <c r="AW332" s="286"/>
      <c r="AX332" s="286"/>
      <c r="AY332" s="286"/>
      <c r="AZ332" s="286"/>
      <c r="BA332" s="286"/>
      <c r="BB332" s="286"/>
      <c r="BC332" s="286"/>
      <c r="BD332" s="287"/>
      <c r="BE332" s="287"/>
      <c r="BF332" s="287"/>
      <c r="BG332" s="288"/>
      <c r="BH332" s="287"/>
      <c r="BI332" s="287"/>
      <c r="BJ332" s="287"/>
      <c r="BK332" s="287"/>
      <c r="BL332" s="287"/>
      <c r="BM332" s="287"/>
      <c r="BN332" s="287"/>
      <c r="BO332" s="287"/>
      <c r="BP332" s="287"/>
      <c r="BQ332" s="287"/>
      <c r="BR332" s="287"/>
      <c r="BS332" s="287"/>
      <c r="BT332" s="287"/>
      <c r="BU332" s="287"/>
      <c r="BV332" s="287"/>
      <c r="BW332" s="287"/>
      <c r="BX332" s="286"/>
      <c r="BY332" s="289"/>
      <c r="BZ332" s="289"/>
      <c r="CA332" s="289"/>
      <c r="CB332" s="289"/>
      <c r="CC332" s="289"/>
      <c r="CD332" s="289"/>
      <c r="CE332" s="289"/>
      <c r="CF332" s="289"/>
      <c r="CG332" s="287"/>
      <c r="CH332" s="287"/>
      <c r="CI332" s="287"/>
      <c r="CJ332" s="287"/>
      <c r="CK332" s="287"/>
      <c r="CL332" s="287"/>
      <c r="CM332" s="287"/>
      <c r="CN332" s="287"/>
      <c r="CO332" s="287"/>
      <c r="CP332" s="287"/>
      <c r="CQ332" s="287">
        <v>14</v>
      </c>
      <c r="CR332" s="287"/>
      <c r="CS332" s="6"/>
      <c r="CT332" s="6"/>
      <c r="CU332" s="6"/>
      <c r="CV332" s="6"/>
      <c r="CW332" s="6"/>
      <c r="CX332" s="6"/>
      <c r="CY332" s="6"/>
      <c r="CZ332" s="6"/>
      <c r="DA332" s="343">
        <f t="shared" si="14"/>
        <v>10</v>
      </c>
    </row>
    <row r="333" spans="1:105" ht="20" customHeight="1" x14ac:dyDescent="0.35">
      <c r="A333" s="301"/>
      <c r="B333" s="270" t="s">
        <v>1743</v>
      </c>
      <c r="C333" s="270" t="s">
        <v>1534</v>
      </c>
      <c r="D333" s="320" t="s">
        <v>630</v>
      </c>
      <c r="E333" s="320" t="s">
        <v>1533</v>
      </c>
      <c r="F333" s="270" t="s">
        <v>1742</v>
      </c>
      <c r="G333" s="270" t="s">
        <v>44</v>
      </c>
      <c r="H333" s="298">
        <v>8</v>
      </c>
      <c r="I333" s="286"/>
      <c r="J333" s="286"/>
      <c r="K333" s="286"/>
      <c r="L333" s="286"/>
      <c r="M333" s="286"/>
      <c r="N333" s="286"/>
      <c r="O333" s="286"/>
      <c r="P333" s="286"/>
      <c r="Q333" s="286"/>
      <c r="R333" s="286"/>
      <c r="S333" s="286"/>
      <c r="T333" s="286"/>
      <c r="U333" s="286"/>
      <c r="V333" s="286"/>
      <c r="W333" s="286"/>
      <c r="X333" s="286"/>
      <c r="Y333" s="286"/>
      <c r="Z333" s="286"/>
      <c r="AA333" s="286"/>
      <c r="AB333" s="286"/>
      <c r="AC333" s="286"/>
      <c r="AD333" s="286">
        <v>11.2</v>
      </c>
      <c r="AE333" s="286"/>
      <c r="AF333" s="286"/>
      <c r="AG333" s="286"/>
      <c r="AH333" s="286"/>
      <c r="AI333" s="286"/>
      <c r="AJ333" s="286"/>
      <c r="AK333" s="287"/>
      <c r="AL333" s="288"/>
      <c r="AM333" s="287"/>
      <c r="AN333" s="287"/>
      <c r="AO333" s="287"/>
      <c r="AP333" s="286"/>
      <c r="AQ333" s="296"/>
      <c r="AR333" s="286"/>
      <c r="AS333" s="286"/>
      <c r="AT333" s="286"/>
      <c r="AU333" s="286"/>
      <c r="AV333" s="286"/>
      <c r="AW333" s="286"/>
      <c r="AX333" s="286"/>
      <c r="AY333" s="286"/>
      <c r="AZ333" s="286"/>
      <c r="BA333" s="286"/>
      <c r="BB333" s="286"/>
      <c r="BC333" s="286"/>
      <c r="BD333" s="287"/>
      <c r="BE333" s="287"/>
      <c r="BF333" s="287"/>
      <c r="BG333" s="288"/>
      <c r="BH333" s="287"/>
      <c r="BI333" s="287"/>
      <c r="BJ333" s="287"/>
      <c r="BK333" s="287"/>
      <c r="BL333" s="287"/>
      <c r="BM333" s="287"/>
      <c r="BN333" s="287"/>
      <c r="BO333" s="287"/>
      <c r="BP333" s="287"/>
      <c r="BQ333" s="287"/>
      <c r="BR333" s="287"/>
      <c r="BS333" s="287"/>
      <c r="BT333" s="287"/>
      <c r="BU333" s="287"/>
      <c r="BV333" s="287"/>
      <c r="BW333" s="287"/>
      <c r="BX333" s="286"/>
      <c r="BY333" s="289"/>
      <c r="BZ333" s="289"/>
      <c r="CA333" s="289"/>
      <c r="CB333" s="289"/>
      <c r="CC333" s="289"/>
      <c r="CD333" s="289"/>
      <c r="CE333" s="289"/>
      <c r="CF333" s="289"/>
      <c r="CG333" s="287"/>
      <c r="CH333" s="287"/>
      <c r="CI333" s="287"/>
      <c r="CJ333" s="287"/>
      <c r="CK333" s="287"/>
      <c r="CL333" s="287"/>
      <c r="CM333" s="287"/>
      <c r="CN333" s="287"/>
      <c r="CO333" s="287"/>
      <c r="CP333" s="287"/>
      <c r="CQ333" s="287"/>
      <c r="CR333" s="287"/>
      <c r="CS333" s="6"/>
      <c r="CT333" s="6"/>
      <c r="CU333" s="6"/>
      <c r="CV333" s="6"/>
      <c r="CW333" s="6"/>
      <c r="CX333" s="6"/>
      <c r="CY333" s="6"/>
      <c r="CZ333" s="6"/>
      <c r="DA333" s="343">
        <f t="shared" si="14"/>
        <v>8</v>
      </c>
    </row>
    <row r="334" spans="1:105" ht="20" customHeight="1" x14ac:dyDescent="0.35">
      <c r="A334" s="301"/>
      <c r="B334" s="270" t="s">
        <v>2014</v>
      </c>
      <c r="C334" s="270" t="s">
        <v>1534</v>
      </c>
      <c r="D334" s="320" t="s">
        <v>630</v>
      </c>
      <c r="E334" s="320" t="s">
        <v>1533</v>
      </c>
      <c r="F334" s="270" t="s">
        <v>2015</v>
      </c>
      <c r="G334" s="270" t="s">
        <v>44</v>
      </c>
      <c r="H334" s="298">
        <v>20</v>
      </c>
      <c r="I334" s="286">
        <v>28</v>
      </c>
      <c r="J334" s="286"/>
      <c r="K334" s="286"/>
      <c r="L334" s="286"/>
      <c r="M334" s="286"/>
      <c r="N334" s="286"/>
      <c r="O334" s="286"/>
      <c r="P334" s="286"/>
      <c r="Q334" s="286"/>
      <c r="R334" s="286"/>
      <c r="S334" s="286"/>
      <c r="T334" s="286"/>
      <c r="U334" s="286"/>
      <c r="V334" s="286"/>
      <c r="W334" s="286"/>
      <c r="X334" s="286"/>
      <c r="Y334" s="286"/>
      <c r="Z334" s="286"/>
      <c r="AA334" s="286"/>
      <c r="AB334" s="286"/>
      <c r="AC334" s="286"/>
      <c r="AD334" s="286"/>
      <c r="AE334" s="286"/>
      <c r="AF334" s="286"/>
      <c r="AG334" s="286"/>
      <c r="AH334" s="286"/>
      <c r="AI334" s="286"/>
      <c r="AJ334" s="286"/>
      <c r="AK334" s="287"/>
      <c r="AL334" s="288"/>
      <c r="AM334" s="287"/>
      <c r="AN334" s="287"/>
      <c r="AO334" s="287"/>
      <c r="AP334" s="286"/>
      <c r="AQ334" s="296"/>
      <c r="AR334" s="286"/>
      <c r="AS334" s="286"/>
      <c r="AT334" s="286"/>
      <c r="AU334" s="286"/>
      <c r="AV334" s="286"/>
      <c r="AW334" s="286"/>
      <c r="AX334" s="286"/>
      <c r="AY334" s="286"/>
      <c r="AZ334" s="286"/>
      <c r="BA334" s="286"/>
      <c r="BB334" s="286"/>
      <c r="BC334" s="286"/>
      <c r="BD334" s="287"/>
      <c r="BE334" s="287"/>
      <c r="BF334" s="287"/>
      <c r="BG334" s="288"/>
      <c r="BH334" s="287"/>
      <c r="BI334" s="287"/>
      <c r="BJ334" s="287"/>
      <c r="BK334" s="287"/>
      <c r="BL334" s="287"/>
      <c r="BM334" s="287"/>
      <c r="BN334" s="287"/>
      <c r="BO334" s="287"/>
      <c r="BP334" s="287"/>
      <c r="BQ334" s="287"/>
      <c r="BR334" s="287"/>
      <c r="BS334" s="287"/>
      <c r="BT334" s="287"/>
      <c r="BU334" s="287"/>
      <c r="BV334" s="287"/>
      <c r="BW334" s="287"/>
      <c r="BX334" s="286"/>
      <c r="BY334" s="289"/>
      <c r="BZ334" s="289"/>
      <c r="CA334" s="289"/>
      <c r="CB334" s="289"/>
      <c r="CC334" s="289"/>
      <c r="CD334" s="289"/>
      <c r="CE334" s="289"/>
      <c r="CF334" s="289"/>
      <c r="CG334" s="287"/>
      <c r="CH334" s="287"/>
      <c r="CI334" s="287"/>
      <c r="CJ334" s="287"/>
      <c r="CK334" s="287"/>
      <c r="CL334" s="287"/>
      <c r="CM334" s="287"/>
      <c r="CN334" s="287"/>
      <c r="CO334" s="287"/>
      <c r="CP334" s="287"/>
      <c r="CQ334" s="287"/>
      <c r="CR334" s="287"/>
      <c r="CS334" s="6"/>
      <c r="CT334" s="6"/>
      <c r="CU334" s="6"/>
      <c r="CV334" s="6"/>
      <c r="CW334" s="6"/>
      <c r="CX334" s="6"/>
      <c r="CY334" s="6"/>
      <c r="CZ334" s="6"/>
      <c r="DA334" s="343">
        <f t="shared" si="14"/>
        <v>20</v>
      </c>
    </row>
    <row r="335" spans="1:105" ht="20" customHeight="1" x14ac:dyDescent="0.35">
      <c r="A335" s="301"/>
      <c r="B335" s="306" t="s">
        <v>1659</v>
      </c>
      <c r="C335" s="270" t="s">
        <v>1660</v>
      </c>
      <c r="D335" s="270" t="s">
        <v>630</v>
      </c>
      <c r="E335" s="270" t="s">
        <v>1061</v>
      </c>
      <c r="F335" s="270" t="s">
        <v>1661</v>
      </c>
      <c r="G335" s="270" t="s">
        <v>522</v>
      </c>
      <c r="H335" s="298">
        <f>16.5/2</f>
        <v>8.25</v>
      </c>
      <c r="I335" s="286"/>
      <c r="J335" s="292">
        <v>10.8</v>
      </c>
      <c r="K335" s="286"/>
      <c r="L335" s="286"/>
      <c r="M335" s="286"/>
      <c r="N335" s="286"/>
      <c r="O335" s="286"/>
      <c r="P335" s="286"/>
      <c r="Q335" s="286"/>
      <c r="R335" s="286"/>
      <c r="S335" s="286"/>
      <c r="T335" s="286"/>
      <c r="U335" s="286"/>
      <c r="V335" s="286"/>
      <c r="W335" s="286"/>
      <c r="X335" s="286"/>
      <c r="Y335" s="286"/>
      <c r="Z335" s="286"/>
      <c r="AA335" s="286"/>
      <c r="AB335" s="286"/>
      <c r="AC335" s="286"/>
      <c r="AD335" s="286"/>
      <c r="AE335" s="286"/>
      <c r="AF335" s="286"/>
      <c r="AG335" s="286"/>
      <c r="AH335" s="286"/>
      <c r="AI335" s="286"/>
      <c r="AJ335" s="286"/>
      <c r="AK335" s="287"/>
      <c r="AL335" s="288">
        <f>J335</f>
        <v>10.8</v>
      </c>
      <c r="AM335" s="287"/>
      <c r="AN335" s="287"/>
      <c r="AO335" s="287"/>
      <c r="AP335" s="286"/>
      <c r="AQ335" s="296">
        <v>12</v>
      </c>
      <c r="AR335" s="286"/>
      <c r="AS335" s="286"/>
      <c r="AT335" s="286"/>
      <c r="AU335" s="286"/>
      <c r="AV335" s="286"/>
      <c r="AW335" s="286"/>
      <c r="AX335" s="286"/>
      <c r="AY335" s="286"/>
      <c r="AZ335" s="286">
        <f>J335</f>
        <v>10.8</v>
      </c>
      <c r="BA335" s="286"/>
      <c r="BB335" s="286"/>
      <c r="BC335" s="286"/>
      <c r="BD335" s="287"/>
      <c r="BE335" s="287"/>
      <c r="BF335" s="287"/>
      <c r="BG335" s="288"/>
      <c r="BH335" s="287"/>
      <c r="BI335" s="287"/>
      <c r="BJ335" s="287"/>
      <c r="BK335" s="287"/>
      <c r="BL335" s="287"/>
      <c r="BM335" s="287"/>
      <c r="BN335" s="287"/>
      <c r="BO335" s="287"/>
      <c r="BP335" s="287"/>
      <c r="BQ335" s="287"/>
      <c r="BR335" s="287"/>
      <c r="BS335" s="287">
        <v>11</v>
      </c>
      <c r="BT335" s="287"/>
      <c r="BU335" s="287"/>
      <c r="BV335" s="287"/>
      <c r="BW335" s="287"/>
      <c r="BX335" s="286">
        <f>J335</f>
        <v>10.8</v>
      </c>
      <c r="BY335" s="289"/>
      <c r="BZ335" s="289"/>
      <c r="CA335" s="289"/>
      <c r="CB335" s="289"/>
      <c r="CC335" s="289"/>
      <c r="CD335" s="289"/>
      <c r="CE335" s="289"/>
      <c r="CF335" s="289"/>
      <c r="CG335" s="287"/>
      <c r="CH335" s="287"/>
      <c r="CI335" s="287"/>
      <c r="CJ335" s="287"/>
      <c r="CK335" s="287"/>
      <c r="CL335" s="287"/>
      <c r="CM335" s="287"/>
      <c r="CN335" s="287"/>
      <c r="CO335" s="287"/>
      <c r="CP335" s="287"/>
      <c r="CQ335" s="287">
        <v>12</v>
      </c>
      <c r="CR335" s="287"/>
      <c r="CS335" s="6"/>
      <c r="CT335" s="6"/>
      <c r="CU335" s="6"/>
      <c r="CV335" s="6"/>
      <c r="CW335" s="6"/>
      <c r="CX335" s="6"/>
      <c r="CY335" s="6"/>
      <c r="CZ335" s="6"/>
      <c r="DA335" s="343">
        <f t="shared" si="14"/>
        <v>8.25</v>
      </c>
    </row>
    <row r="336" spans="1:105" ht="20" customHeight="1" x14ac:dyDescent="0.35">
      <c r="A336" s="301"/>
      <c r="B336" s="306" t="s">
        <v>1872</v>
      </c>
      <c r="C336" s="270" t="s">
        <v>1660</v>
      </c>
      <c r="D336" s="321"/>
      <c r="E336" s="270" t="s">
        <v>50</v>
      </c>
      <c r="F336" s="270" t="s">
        <v>1661</v>
      </c>
      <c r="G336" s="270" t="s">
        <v>522</v>
      </c>
      <c r="H336" s="298"/>
      <c r="I336" s="286"/>
      <c r="J336" s="292"/>
      <c r="K336" s="286"/>
      <c r="L336" s="286"/>
      <c r="M336" s="286"/>
      <c r="N336" s="286"/>
      <c r="O336" s="286"/>
      <c r="P336" s="286"/>
      <c r="Q336" s="286"/>
      <c r="R336" s="286"/>
      <c r="S336" s="286"/>
      <c r="T336" s="286"/>
      <c r="U336" s="286"/>
      <c r="V336" s="286"/>
      <c r="W336" s="286"/>
      <c r="X336" s="286"/>
      <c r="Y336" s="286"/>
      <c r="Z336" s="286"/>
      <c r="AA336" s="286"/>
      <c r="AB336" s="286"/>
      <c r="AC336" s="286"/>
      <c r="AD336" s="286"/>
      <c r="AE336" s="286"/>
      <c r="AF336" s="286"/>
      <c r="AG336" s="286"/>
      <c r="AH336" s="286"/>
      <c r="AI336" s="286"/>
      <c r="AJ336" s="286"/>
      <c r="AK336" s="287"/>
      <c r="AL336" s="288"/>
      <c r="AM336" s="287"/>
      <c r="AN336" s="287"/>
      <c r="AO336" s="287"/>
      <c r="AP336" s="286"/>
      <c r="AQ336" s="296"/>
      <c r="AR336" s="286"/>
      <c r="AS336" s="286"/>
      <c r="AT336" s="286"/>
      <c r="AU336" s="286"/>
      <c r="AV336" s="286"/>
      <c r="AW336" s="286"/>
      <c r="AX336" s="286"/>
      <c r="AY336" s="286"/>
      <c r="AZ336" s="286"/>
      <c r="BA336" s="286"/>
      <c r="BB336" s="286"/>
      <c r="BC336" s="286"/>
      <c r="BD336" s="287"/>
      <c r="BE336" s="287"/>
      <c r="BF336" s="287"/>
      <c r="BG336" s="288"/>
      <c r="BH336" s="287"/>
      <c r="BI336" s="287"/>
      <c r="BJ336" s="287"/>
      <c r="BK336" s="287"/>
      <c r="BL336" s="287"/>
      <c r="BM336" s="287"/>
      <c r="BN336" s="287"/>
      <c r="BO336" s="287"/>
      <c r="BP336" s="287"/>
      <c r="BQ336" s="287"/>
      <c r="BR336" s="287"/>
      <c r="BS336" s="287"/>
      <c r="BT336" s="287"/>
      <c r="BU336" s="287"/>
      <c r="BV336" s="287"/>
      <c r="BW336" s="287"/>
      <c r="BX336" s="286"/>
      <c r="BY336" s="289"/>
      <c r="BZ336" s="289"/>
      <c r="CA336" s="289"/>
      <c r="CB336" s="289"/>
      <c r="CC336" s="289"/>
      <c r="CD336" s="289"/>
      <c r="CE336" s="289"/>
      <c r="CF336" s="289"/>
      <c r="CG336" s="287"/>
      <c r="CH336" s="287"/>
      <c r="CI336" s="287"/>
      <c r="CJ336" s="287"/>
      <c r="CK336" s="287"/>
      <c r="CL336" s="287"/>
      <c r="CM336" s="287"/>
      <c r="CN336" s="287"/>
      <c r="CO336" s="287"/>
      <c r="CP336" s="287"/>
      <c r="CQ336" s="287"/>
      <c r="CR336" s="287"/>
      <c r="CS336" s="6"/>
      <c r="CT336" s="6"/>
      <c r="CU336" s="6"/>
      <c r="CV336" s="6"/>
      <c r="CW336" s="6"/>
      <c r="CX336" s="6"/>
      <c r="CY336" s="6"/>
      <c r="CZ336" s="6"/>
      <c r="DA336" s="343"/>
    </row>
    <row r="337" spans="1:105" ht="20" customHeight="1" x14ac:dyDescent="0.35">
      <c r="A337" s="301"/>
      <c r="B337" s="270" t="s">
        <v>884</v>
      </c>
      <c r="C337" s="270" t="s">
        <v>2241</v>
      </c>
      <c r="D337" s="270" t="s">
        <v>1078</v>
      </c>
      <c r="E337" s="270" t="s">
        <v>137</v>
      </c>
      <c r="F337" s="270" t="s">
        <v>93</v>
      </c>
      <c r="G337" s="270" t="s">
        <v>91</v>
      </c>
      <c r="H337" s="298">
        <f>74/24</f>
        <v>3.0833333333333335</v>
      </c>
      <c r="I337" s="286"/>
      <c r="J337" s="292"/>
      <c r="K337" s="286"/>
      <c r="L337" s="286"/>
      <c r="M337" s="286"/>
      <c r="N337" s="286"/>
      <c r="O337" s="286"/>
      <c r="P337" s="292"/>
      <c r="Q337" s="286"/>
      <c r="R337" s="286"/>
      <c r="S337" s="286"/>
      <c r="T337" s="286"/>
      <c r="U337" s="286"/>
      <c r="V337" s="294"/>
      <c r="W337" s="286"/>
      <c r="X337" s="286"/>
      <c r="Y337" s="286"/>
      <c r="Z337" s="286"/>
      <c r="AA337" s="286"/>
      <c r="AB337" s="286"/>
      <c r="AC337" s="286"/>
      <c r="AD337" s="286"/>
      <c r="AE337" s="286"/>
      <c r="AF337" s="286"/>
      <c r="AG337" s="286"/>
      <c r="AH337" s="286"/>
      <c r="AI337" s="286"/>
      <c r="AJ337" s="286"/>
      <c r="AK337" s="295"/>
      <c r="AL337" s="288"/>
      <c r="AM337" s="287"/>
      <c r="AN337" s="287"/>
      <c r="AO337" s="287"/>
      <c r="AP337" s="286"/>
      <c r="AQ337" s="296"/>
      <c r="AR337" s="286"/>
      <c r="AS337" s="286"/>
      <c r="AT337" s="286"/>
      <c r="AU337" s="286"/>
      <c r="AV337" s="286"/>
      <c r="AW337" s="286"/>
      <c r="AX337" s="286"/>
      <c r="AY337" s="286"/>
      <c r="AZ337" s="286"/>
      <c r="BA337" s="286"/>
      <c r="BB337" s="286"/>
      <c r="BC337" s="286"/>
      <c r="BD337" s="287"/>
      <c r="BE337" s="287"/>
      <c r="BF337" s="287"/>
      <c r="BG337" s="288"/>
      <c r="BH337" s="287"/>
      <c r="BI337" s="287"/>
      <c r="BJ337" s="287">
        <v>5</v>
      </c>
      <c r="BK337" s="287"/>
      <c r="BL337" s="287"/>
      <c r="BM337" s="287"/>
      <c r="BN337" s="287"/>
      <c r="BO337" s="287"/>
      <c r="BP337" s="287"/>
      <c r="BQ337" s="287"/>
      <c r="BR337" s="287"/>
      <c r="BS337" s="287"/>
      <c r="BT337" s="287"/>
      <c r="BU337" s="287">
        <v>4.5</v>
      </c>
      <c r="BV337" s="287"/>
      <c r="BW337" s="287"/>
      <c r="BX337" s="286"/>
      <c r="BY337" s="289"/>
      <c r="BZ337" s="289">
        <v>4.5</v>
      </c>
      <c r="CA337" s="289"/>
      <c r="CB337" s="289"/>
      <c r="CC337" s="289"/>
      <c r="CD337" s="289"/>
      <c r="CE337" s="289"/>
      <c r="CF337" s="289"/>
      <c r="CG337" s="287"/>
      <c r="CH337" s="287"/>
      <c r="CI337" s="287"/>
      <c r="CJ337" s="287"/>
      <c r="CK337" s="287"/>
      <c r="CL337" s="287">
        <v>5.5</v>
      </c>
      <c r="CM337" s="287"/>
      <c r="CN337" s="287"/>
      <c r="CO337" s="287"/>
      <c r="CP337" s="287"/>
      <c r="CQ337" s="287">
        <v>5</v>
      </c>
      <c r="CR337" s="287"/>
      <c r="CS337" s="296">
        <v>5</v>
      </c>
      <c r="CT337" s="6"/>
      <c r="CU337" s="6"/>
      <c r="CV337" s="6"/>
      <c r="CW337" s="6"/>
      <c r="CX337" s="6"/>
      <c r="CY337" s="6"/>
      <c r="CZ337" s="6"/>
      <c r="DA337" s="343">
        <f t="shared" ref="DA337" si="15">H337</f>
        <v>3.0833333333333335</v>
      </c>
    </row>
    <row r="338" spans="1:105" ht="20" customHeight="1" x14ac:dyDescent="0.35">
      <c r="A338" s="301"/>
      <c r="B338" s="306" t="s">
        <v>1662</v>
      </c>
      <c r="C338" s="270" t="s">
        <v>1663</v>
      </c>
      <c r="D338" s="270"/>
      <c r="E338" s="270" t="s">
        <v>34</v>
      </c>
      <c r="F338" s="270" t="s">
        <v>1664</v>
      </c>
      <c r="G338" s="270" t="s">
        <v>91</v>
      </c>
      <c r="H338" s="298">
        <v>10.5</v>
      </c>
      <c r="I338" s="286">
        <v>14</v>
      </c>
      <c r="J338" s="286"/>
      <c r="K338" s="286"/>
      <c r="L338" s="286"/>
      <c r="M338" s="286"/>
      <c r="N338" s="286"/>
      <c r="O338" s="286"/>
      <c r="P338" s="286"/>
      <c r="Q338" s="286"/>
      <c r="R338" s="286"/>
      <c r="S338" s="286"/>
      <c r="T338" s="286"/>
      <c r="U338" s="286"/>
      <c r="V338" s="286"/>
      <c r="W338" s="286"/>
      <c r="X338" s="286"/>
      <c r="Y338" s="286"/>
      <c r="Z338" s="286"/>
      <c r="AA338" s="286"/>
      <c r="AB338" s="286"/>
      <c r="AC338" s="286"/>
      <c r="AD338" s="286"/>
      <c r="AE338" s="286"/>
      <c r="AF338" s="286"/>
      <c r="AG338" s="286"/>
      <c r="AH338" s="286"/>
      <c r="AI338" s="286"/>
      <c r="AJ338" s="286"/>
      <c r="AK338" s="287"/>
      <c r="AL338" s="288"/>
      <c r="AM338" s="287"/>
      <c r="AN338" s="287"/>
      <c r="AO338" s="287"/>
      <c r="AP338" s="286"/>
      <c r="AQ338" s="296"/>
      <c r="AR338" s="286"/>
      <c r="AS338" s="286"/>
      <c r="AT338" s="286"/>
      <c r="AU338" s="286"/>
      <c r="AV338" s="286"/>
      <c r="AW338" s="286"/>
      <c r="AX338" s="286"/>
      <c r="AY338" s="286"/>
      <c r="AZ338" s="286"/>
      <c r="BA338" s="286"/>
      <c r="BB338" s="286"/>
      <c r="BC338" s="286"/>
      <c r="BD338" s="287"/>
      <c r="BE338" s="287"/>
      <c r="BF338" s="287"/>
      <c r="BG338" s="288"/>
      <c r="BH338" s="287"/>
      <c r="BI338" s="287"/>
      <c r="BJ338" s="287"/>
      <c r="BK338" s="287"/>
      <c r="BL338" s="287"/>
      <c r="BM338" s="287"/>
      <c r="BN338" s="287"/>
      <c r="BO338" s="287"/>
      <c r="BP338" s="287"/>
      <c r="BQ338" s="287"/>
      <c r="BR338" s="287"/>
      <c r="BS338" s="287"/>
      <c r="BT338" s="287"/>
      <c r="BU338" s="287"/>
      <c r="BV338" s="287"/>
      <c r="BW338" s="287"/>
      <c r="BX338" s="286"/>
      <c r="BY338" s="289"/>
      <c r="BZ338" s="289"/>
      <c r="CA338" s="289"/>
      <c r="CB338" s="289"/>
      <c r="CC338" s="289"/>
      <c r="CD338" s="289"/>
      <c r="CE338" s="289"/>
      <c r="CF338" s="289"/>
      <c r="CG338" s="287"/>
      <c r="CH338" s="287"/>
      <c r="CI338" s="287"/>
      <c r="CJ338" s="287"/>
      <c r="CK338" s="287"/>
      <c r="CL338" s="287"/>
      <c r="CM338" s="287"/>
      <c r="CN338" s="287"/>
      <c r="CO338" s="287"/>
      <c r="CP338" s="287"/>
      <c r="CQ338" s="287">
        <v>14</v>
      </c>
      <c r="CR338" s="287"/>
      <c r="CS338" s="6"/>
      <c r="CT338" s="6"/>
      <c r="CU338" s="6"/>
      <c r="CV338" s="6"/>
      <c r="CW338" s="6"/>
      <c r="CX338" s="6"/>
      <c r="CY338" s="6"/>
      <c r="CZ338" s="6"/>
      <c r="DA338" s="343">
        <f t="shared" si="14"/>
        <v>10.5</v>
      </c>
    </row>
    <row r="339" spans="1:105" ht="20" customHeight="1" x14ac:dyDescent="0.35">
      <c r="A339" s="301"/>
      <c r="B339" s="306" t="s">
        <v>1779</v>
      </c>
      <c r="C339" s="270" t="s">
        <v>1784</v>
      </c>
      <c r="D339" s="270" t="s">
        <v>630</v>
      </c>
      <c r="E339" s="270" t="s">
        <v>34</v>
      </c>
      <c r="F339" s="270" t="s">
        <v>1661</v>
      </c>
      <c r="G339" s="270" t="s">
        <v>44</v>
      </c>
      <c r="H339" s="298">
        <f>4.5/2</f>
        <v>2.25</v>
      </c>
      <c r="I339" s="286"/>
      <c r="J339" s="292">
        <v>2.4</v>
      </c>
      <c r="K339" s="286"/>
      <c r="L339" s="286"/>
      <c r="M339" s="286"/>
      <c r="N339" s="286"/>
      <c r="O339" s="286"/>
      <c r="P339" s="286"/>
      <c r="Q339" s="286"/>
      <c r="R339" s="286"/>
      <c r="S339" s="286"/>
      <c r="T339" s="286"/>
      <c r="U339" s="286"/>
      <c r="V339" s="286"/>
      <c r="W339" s="286"/>
      <c r="X339" s="286"/>
      <c r="Y339" s="286"/>
      <c r="Z339" s="286"/>
      <c r="AA339" s="286"/>
      <c r="AB339" s="286"/>
      <c r="AC339" s="286"/>
      <c r="AD339" s="286"/>
      <c r="AE339" s="286"/>
      <c r="AF339" s="286"/>
      <c r="AG339" s="286"/>
      <c r="AH339" s="286"/>
      <c r="AI339" s="286"/>
      <c r="AJ339" s="286"/>
      <c r="AK339" s="287"/>
      <c r="AL339" s="288"/>
      <c r="AM339" s="287"/>
      <c r="AN339" s="287"/>
      <c r="AO339" s="287"/>
      <c r="AP339" s="286"/>
      <c r="AQ339" s="296"/>
      <c r="AR339" s="286"/>
      <c r="AS339" s="286"/>
      <c r="AT339" s="286"/>
      <c r="AU339" s="286"/>
      <c r="AV339" s="286"/>
      <c r="AW339" s="286"/>
      <c r="AX339" s="286"/>
      <c r="AY339" s="286"/>
      <c r="AZ339" s="286">
        <v>2.4</v>
      </c>
      <c r="BA339" s="286"/>
      <c r="BB339" s="286"/>
      <c r="BC339" s="286"/>
      <c r="BD339" s="287"/>
      <c r="BE339" s="287"/>
      <c r="BF339" s="287"/>
      <c r="BG339" s="288"/>
      <c r="BH339" s="287">
        <v>2.4</v>
      </c>
      <c r="BI339" s="287"/>
      <c r="BJ339" s="287"/>
      <c r="BK339" s="287"/>
      <c r="BL339" s="287"/>
      <c r="BM339" s="287"/>
      <c r="BN339" s="287"/>
      <c r="BO339" s="287"/>
      <c r="BP339" s="287"/>
      <c r="BQ339" s="287"/>
      <c r="BR339" s="287"/>
      <c r="BS339" s="287"/>
      <c r="BT339" s="287"/>
      <c r="BU339" s="287"/>
      <c r="BV339" s="287"/>
      <c r="BW339" s="287"/>
      <c r="BX339" s="286"/>
      <c r="BY339" s="289"/>
      <c r="BZ339" s="289"/>
      <c r="CA339" s="289"/>
      <c r="CB339" s="289"/>
      <c r="CC339" s="289"/>
      <c r="CD339" s="289"/>
      <c r="CE339" s="289"/>
      <c r="CF339" s="289"/>
      <c r="CG339" s="287"/>
      <c r="CH339" s="287"/>
      <c r="CI339" s="287"/>
      <c r="CJ339" s="287"/>
      <c r="CK339" s="287"/>
      <c r="CL339" s="287"/>
      <c r="CM339" s="292">
        <v>2.4</v>
      </c>
      <c r="CN339" s="287"/>
      <c r="CO339" s="287"/>
      <c r="CP339" s="287"/>
      <c r="CQ339" s="287"/>
      <c r="CR339" s="287"/>
      <c r="CS339" s="6"/>
      <c r="CT339" s="6"/>
      <c r="CU339" s="6"/>
      <c r="CV339" s="6"/>
      <c r="CW339" s="6"/>
      <c r="CX339" s="6"/>
      <c r="CY339" s="6"/>
      <c r="CZ339" s="6"/>
      <c r="DA339" s="343">
        <f t="shared" si="14"/>
        <v>2.25</v>
      </c>
    </row>
    <row r="340" spans="1:105" ht="20" customHeight="1" x14ac:dyDescent="0.35">
      <c r="A340" s="301"/>
      <c r="B340" s="306" t="s">
        <v>1780</v>
      </c>
      <c r="C340" s="270" t="s">
        <v>1785</v>
      </c>
      <c r="D340" s="270" t="s">
        <v>630</v>
      </c>
      <c r="E340" s="270" t="s">
        <v>34</v>
      </c>
      <c r="F340" s="270" t="s">
        <v>1789</v>
      </c>
      <c r="G340" s="270" t="s">
        <v>522</v>
      </c>
      <c r="H340" s="298">
        <f>2.8/600*100*10</f>
        <v>4.6666666666666661</v>
      </c>
      <c r="I340" s="286"/>
      <c r="J340" s="292">
        <v>10</v>
      </c>
      <c r="K340" s="286"/>
      <c r="L340" s="286"/>
      <c r="M340" s="286"/>
      <c r="N340" s="286"/>
      <c r="O340" s="286"/>
      <c r="P340" s="286"/>
      <c r="Q340" s="286"/>
      <c r="R340" s="286"/>
      <c r="S340" s="286"/>
      <c r="T340" s="292">
        <v>10</v>
      </c>
      <c r="U340" s="286"/>
      <c r="V340" s="286"/>
      <c r="W340" s="286"/>
      <c r="X340" s="286"/>
      <c r="Y340" s="286"/>
      <c r="Z340" s="286"/>
      <c r="AA340" s="286"/>
      <c r="AB340" s="286"/>
      <c r="AC340" s="286"/>
      <c r="AD340" s="286"/>
      <c r="AE340" s="286"/>
      <c r="AF340" s="286"/>
      <c r="AG340" s="286"/>
      <c r="AH340" s="286"/>
      <c r="AI340" s="286"/>
      <c r="AJ340" s="286"/>
      <c r="AK340" s="287"/>
      <c r="AL340" s="288"/>
      <c r="AM340" s="287"/>
      <c r="AN340" s="287"/>
      <c r="AO340" s="287"/>
      <c r="AP340" s="286"/>
      <c r="AQ340" s="296"/>
      <c r="AR340" s="286"/>
      <c r="AS340" s="286"/>
      <c r="AT340" s="286"/>
      <c r="AU340" s="286"/>
      <c r="AV340" s="286"/>
      <c r="AW340" s="286"/>
      <c r="AX340" s="286"/>
      <c r="AY340" s="286"/>
      <c r="AZ340" s="286"/>
      <c r="BA340" s="286"/>
      <c r="BB340" s="286"/>
      <c r="BC340" s="286"/>
      <c r="BD340" s="287"/>
      <c r="BE340" s="287"/>
      <c r="BF340" s="287"/>
      <c r="BG340" s="288"/>
      <c r="BH340" s="287">
        <v>10</v>
      </c>
      <c r="BI340" s="287"/>
      <c r="BJ340" s="287"/>
      <c r="BK340" s="287"/>
      <c r="BL340" s="287"/>
      <c r="BM340" s="287"/>
      <c r="BN340" s="287"/>
      <c r="BO340" s="287"/>
      <c r="BP340" s="287"/>
      <c r="BQ340" s="287"/>
      <c r="BR340" s="287"/>
      <c r="BS340" s="287"/>
      <c r="BT340" s="287"/>
      <c r="BU340" s="287"/>
      <c r="BV340" s="287"/>
      <c r="BW340" s="287"/>
      <c r="BX340" s="286">
        <v>10</v>
      </c>
      <c r="BY340" s="289"/>
      <c r="BZ340" s="289"/>
      <c r="CA340" s="289"/>
      <c r="CB340" s="289"/>
      <c r="CC340" s="289"/>
      <c r="CD340" s="289"/>
      <c r="CE340" s="289"/>
      <c r="CF340" s="289"/>
      <c r="CG340" s="287"/>
      <c r="CH340" s="287"/>
      <c r="CI340" s="287"/>
      <c r="CJ340" s="287"/>
      <c r="CK340" s="287"/>
      <c r="CL340" s="287"/>
      <c r="CM340" s="287"/>
      <c r="CN340" s="287"/>
      <c r="CO340" s="287"/>
      <c r="CP340" s="287"/>
      <c r="CQ340" s="287"/>
      <c r="CR340" s="287"/>
      <c r="CS340" s="6"/>
      <c r="CT340" s="6"/>
      <c r="CU340" s="6"/>
      <c r="CV340" s="6"/>
      <c r="CW340" s="6"/>
      <c r="CX340" s="6"/>
      <c r="CY340" s="6"/>
      <c r="CZ340" s="6"/>
      <c r="DA340" s="343">
        <f t="shared" si="14"/>
        <v>4.6666666666666661</v>
      </c>
    </row>
    <row r="341" spans="1:105" ht="20" customHeight="1" x14ac:dyDescent="0.35">
      <c r="A341" s="301"/>
      <c r="B341" s="306" t="s">
        <v>1781</v>
      </c>
      <c r="C341" s="270" t="s">
        <v>1786</v>
      </c>
      <c r="D341" s="270" t="s">
        <v>630</v>
      </c>
      <c r="E341" s="270" t="s">
        <v>34</v>
      </c>
      <c r="F341" s="270" t="s">
        <v>1790</v>
      </c>
      <c r="G341" s="270" t="s">
        <v>522</v>
      </c>
      <c r="H341" s="298">
        <f>50/1000*60*10</f>
        <v>30</v>
      </c>
      <c r="I341" s="286"/>
      <c r="J341" s="292">
        <v>38</v>
      </c>
      <c r="K341" s="286"/>
      <c r="L341" s="286"/>
      <c r="M341" s="286"/>
      <c r="N341" s="286"/>
      <c r="O341" s="286"/>
      <c r="P341" s="286"/>
      <c r="Q341" s="286"/>
      <c r="R341" s="286"/>
      <c r="S341" s="286"/>
      <c r="T341" s="286"/>
      <c r="U341" s="286"/>
      <c r="V341" s="286"/>
      <c r="W341" s="286"/>
      <c r="X341" s="286"/>
      <c r="Y341" s="286"/>
      <c r="Z341" s="286"/>
      <c r="AA341" s="286"/>
      <c r="AB341" s="286"/>
      <c r="AC341" s="286"/>
      <c r="AD341" s="286"/>
      <c r="AE341" s="286"/>
      <c r="AF341" s="286"/>
      <c r="AG341" s="286"/>
      <c r="AH341" s="286"/>
      <c r="AI341" s="286"/>
      <c r="AJ341" s="286"/>
      <c r="AK341" s="287"/>
      <c r="AL341" s="288"/>
      <c r="AM341" s="287"/>
      <c r="AN341" s="287"/>
      <c r="AO341" s="287"/>
      <c r="AP341" s="286"/>
      <c r="AQ341" s="296"/>
      <c r="AR341" s="286"/>
      <c r="AS341" s="286"/>
      <c r="AT341" s="286"/>
      <c r="AU341" s="286"/>
      <c r="AV341" s="286"/>
      <c r="AW341" s="286"/>
      <c r="AX341" s="286"/>
      <c r="AY341" s="286"/>
      <c r="AZ341" s="286">
        <v>38</v>
      </c>
      <c r="BA341" s="286"/>
      <c r="BB341" s="286"/>
      <c r="BC341" s="286"/>
      <c r="BD341" s="287"/>
      <c r="BE341" s="287"/>
      <c r="BF341" s="287"/>
      <c r="BG341" s="288"/>
      <c r="BH341" s="292">
        <v>38</v>
      </c>
      <c r="BI341" s="287"/>
      <c r="BJ341" s="287"/>
      <c r="BK341" s="287"/>
      <c r="BL341" s="287"/>
      <c r="BM341" s="287"/>
      <c r="BN341" s="287"/>
      <c r="BO341" s="287"/>
      <c r="BP341" s="287"/>
      <c r="BQ341" s="287"/>
      <c r="BR341" s="287"/>
      <c r="BS341" s="287"/>
      <c r="BT341" s="287"/>
      <c r="BU341" s="287"/>
      <c r="BV341" s="287"/>
      <c r="BW341" s="287"/>
      <c r="BX341" s="286"/>
      <c r="BY341" s="289"/>
      <c r="BZ341" s="289"/>
      <c r="CA341" s="289"/>
      <c r="CB341" s="289"/>
      <c r="CC341" s="289"/>
      <c r="CD341" s="289"/>
      <c r="CE341" s="289"/>
      <c r="CF341" s="289"/>
      <c r="CG341" s="287"/>
      <c r="CH341" s="287"/>
      <c r="CI341" s="287"/>
      <c r="CJ341" s="287"/>
      <c r="CK341" s="287"/>
      <c r="CL341" s="287"/>
      <c r="CM341" s="287"/>
      <c r="CN341" s="287"/>
      <c r="CO341" s="287"/>
      <c r="CP341" s="287"/>
      <c r="CQ341" s="287"/>
      <c r="CR341" s="287"/>
      <c r="CS341" s="6"/>
      <c r="CT341" s="6"/>
      <c r="CU341" s="6"/>
      <c r="CV341" s="6"/>
      <c r="CW341" s="6"/>
      <c r="CX341" s="6"/>
      <c r="CY341" s="6"/>
      <c r="CZ341" s="6"/>
      <c r="DA341" s="343">
        <f t="shared" si="14"/>
        <v>30</v>
      </c>
    </row>
    <row r="342" spans="1:105" ht="20" customHeight="1" x14ac:dyDescent="0.35">
      <c r="A342" s="301"/>
      <c r="B342" s="306" t="s">
        <v>1782</v>
      </c>
      <c r="C342" s="270" t="s">
        <v>1787</v>
      </c>
      <c r="D342" s="270" t="s">
        <v>630</v>
      </c>
      <c r="E342" s="270" t="s">
        <v>34</v>
      </c>
      <c r="F342" s="270" t="s">
        <v>1791</v>
      </c>
      <c r="G342" s="270" t="s">
        <v>522</v>
      </c>
      <c r="H342" s="298">
        <v>25</v>
      </c>
      <c r="I342" s="286"/>
      <c r="J342" s="292">
        <v>28</v>
      </c>
      <c r="K342" s="286"/>
      <c r="L342" s="286"/>
      <c r="M342" s="286"/>
      <c r="N342" s="286"/>
      <c r="O342" s="286"/>
      <c r="P342" s="286"/>
      <c r="Q342" s="286"/>
      <c r="R342" s="286"/>
      <c r="S342" s="286"/>
      <c r="T342" s="286"/>
      <c r="U342" s="286"/>
      <c r="V342" s="286"/>
      <c r="W342" s="286"/>
      <c r="X342" s="286"/>
      <c r="Y342" s="286"/>
      <c r="Z342" s="286"/>
      <c r="AA342" s="286"/>
      <c r="AB342" s="286"/>
      <c r="AC342" s="286"/>
      <c r="AD342" s="286"/>
      <c r="AE342" s="286"/>
      <c r="AF342" s="286"/>
      <c r="AG342" s="286"/>
      <c r="AH342" s="286"/>
      <c r="AI342" s="286"/>
      <c r="AJ342" s="286"/>
      <c r="AK342" s="287"/>
      <c r="AL342" s="288"/>
      <c r="AM342" s="287"/>
      <c r="AN342" s="287"/>
      <c r="AO342" s="287"/>
      <c r="AP342" s="286"/>
      <c r="AQ342" s="296"/>
      <c r="AR342" s="286"/>
      <c r="AS342" s="286"/>
      <c r="AT342" s="286"/>
      <c r="AU342" s="286"/>
      <c r="AV342" s="286"/>
      <c r="AW342" s="286"/>
      <c r="AX342" s="286"/>
      <c r="AY342" s="286"/>
      <c r="AZ342" s="286">
        <v>28</v>
      </c>
      <c r="BA342" s="286"/>
      <c r="BB342" s="286"/>
      <c r="BC342" s="286"/>
      <c r="BD342" s="287"/>
      <c r="BE342" s="287"/>
      <c r="BF342" s="287"/>
      <c r="BG342" s="288"/>
      <c r="BH342" s="292">
        <v>28</v>
      </c>
      <c r="BI342" s="287"/>
      <c r="BJ342" s="287"/>
      <c r="BK342" s="287"/>
      <c r="BL342" s="287"/>
      <c r="BM342" s="287"/>
      <c r="BN342" s="287"/>
      <c r="BO342" s="287"/>
      <c r="BP342" s="287"/>
      <c r="BQ342" s="287"/>
      <c r="BR342" s="287"/>
      <c r="BS342" s="287"/>
      <c r="BT342" s="287"/>
      <c r="BU342" s="287"/>
      <c r="BV342" s="287"/>
      <c r="BW342" s="287"/>
      <c r="BX342" s="286"/>
      <c r="BY342" s="289"/>
      <c r="BZ342" s="289"/>
      <c r="CA342" s="289"/>
      <c r="CB342" s="289"/>
      <c r="CC342" s="289"/>
      <c r="CD342" s="289"/>
      <c r="CE342" s="289"/>
      <c r="CF342" s="289"/>
      <c r="CG342" s="287"/>
      <c r="CH342" s="287"/>
      <c r="CI342" s="287"/>
      <c r="CJ342" s="287"/>
      <c r="CK342" s="287"/>
      <c r="CL342" s="287"/>
      <c r="CM342" s="287"/>
      <c r="CN342" s="287"/>
      <c r="CO342" s="287"/>
      <c r="CP342" s="287"/>
      <c r="CQ342" s="287"/>
      <c r="CR342" s="287"/>
      <c r="CS342" s="6"/>
      <c r="CT342" s="6"/>
      <c r="CU342" s="6"/>
      <c r="CV342" s="6"/>
      <c r="CW342" s="6"/>
      <c r="CX342" s="6"/>
      <c r="CY342" s="6"/>
      <c r="CZ342" s="6"/>
      <c r="DA342" s="343">
        <f t="shared" si="14"/>
        <v>25</v>
      </c>
    </row>
    <row r="343" spans="1:105" ht="20" customHeight="1" x14ac:dyDescent="0.35">
      <c r="A343" s="301"/>
      <c r="B343" s="306" t="s">
        <v>1884</v>
      </c>
      <c r="C343" s="270" t="s">
        <v>1885</v>
      </c>
      <c r="D343" s="270" t="s">
        <v>630</v>
      </c>
      <c r="E343" s="270" t="s">
        <v>34</v>
      </c>
      <c r="F343" s="270" t="s">
        <v>1886</v>
      </c>
      <c r="G343" s="270" t="s">
        <v>44</v>
      </c>
      <c r="H343" s="298">
        <v>46</v>
      </c>
      <c r="I343" s="286"/>
      <c r="J343" s="292">
        <v>13.8</v>
      </c>
      <c r="K343" s="286"/>
      <c r="L343" s="286"/>
      <c r="M343" s="286"/>
      <c r="N343" s="286"/>
      <c r="O343" s="286"/>
      <c r="P343" s="286"/>
      <c r="Q343" s="286"/>
      <c r="R343" s="286"/>
      <c r="S343" s="286"/>
      <c r="T343" s="286"/>
      <c r="U343" s="286"/>
      <c r="V343" s="286"/>
      <c r="W343" s="286"/>
      <c r="X343" s="286"/>
      <c r="Y343" s="286"/>
      <c r="Z343" s="286"/>
      <c r="AA343" s="286"/>
      <c r="AB343" s="286"/>
      <c r="AC343" s="286"/>
      <c r="AD343" s="286"/>
      <c r="AE343" s="286"/>
      <c r="AF343" s="286"/>
      <c r="AG343" s="286"/>
      <c r="AH343" s="286"/>
      <c r="AI343" s="286"/>
      <c r="AJ343" s="286"/>
      <c r="AK343" s="287"/>
      <c r="AL343" s="288"/>
      <c r="AM343" s="287"/>
      <c r="AN343" s="287"/>
      <c r="AO343" s="287"/>
      <c r="AP343" s="286"/>
      <c r="AQ343" s="296"/>
      <c r="AR343" s="286"/>
      <c r="AS343" s="286"/>
      <c r="AT343" s="286"/>
      <c r="AU343" s="286"/>
      <c r="AV343" s="286"/>
      <c r="AW343" s="286"/>
      <c r="AX343" s="286"/>
      <c r="AY343" s="286"/>
      <c r="AZ343" s="286"/>
      <c r="BA343" s="286"/>
      <c r="BB343" s="286"/>
      <c r="BC343" s="286"/>
      <c r="BD343" s="287"/>
      <c r="BE343" s="287"/>
      <c r="BF343" s="287"/>
      <c r="BG343" s="288"/>
      <c r="BH343" s="287">
        <v>13.8</v>
      </c>
      <c r="BI343" s="287"/>
      <c r="BJ343" s="287"/>
      <c r="BK343" s="287"/>
      <c r="BL343" s="287"/>
      <c r="BM343" s="287"/>
      <c r="BN343" s="287"/>
      <c r="BO343" s="287"/>
      <c r="BP343" s="287"/>
      <c r="BQ343" s="287"/>
      <c r="BR343" s="287"/>
      <c r="BS343" s="287"/>
      <c r="BT343" s="287"/>
      <c r="BU343" s="287"/>
      <c r="BV343" s="287"/>
      <c r="BW343" s="287"/>
      <c r="BX343" s="286"/>
      <c r="BY343" s="289"/>
      <c r="BZ343" s="289"/>
      <c r="CA343" s="289"/>
      <c r="CB343" s="289"/>
      <c r="CC343" s="289"/>
      <c r="CD343" s="289"/>
      <c r="CE343" s="289"/>
      <c r="CF343" s="289"/>
      <c r="CG343" s="287"/>
      <c r="CH343" s="287"/>
      <c r="CI343" s="287"/>
      <c r="CJ343" s="287"/>
      <c r="CK343" s="287"/>
      <c r="CL343" s="287"/>
      <c r="CM343" s="287"/>
      <c r="CN343" s="287"/>
      <c r="CO343" s="287"/>
      <c r="CP343" s="287"/>
      <c r="CQ343" s="287"/>
      <c r="CR343" s="287"/>
      <c r="CS343" s="6"/>
      <c r="CT343" s="6"/>
      <c r="CU343" s="6"/>
      <c r="CV343" s="6"/>
      <c r="CW343" s="6"/>
      <c r="CX343" s="6"/>
      <c r="CY343" s="6"/>
      <c r="CZ343" s="6"/>
      <c r="DA343" s="343">
        <f t="shared" si="14"/>
        <v>46</v>
      </c>
    </row>
    <row r="344" spans="1:105" ht="20" customHeight="1" x14ac:dyDescent="0.35">
      <c r="A344" s="301"/>
      <c r="B344" s="306" t="s">
        <v>1890</v>
      </c>
      <c r="C344" s="270" t="s">
        <v>1891</v>
      </c>
      <c r="D344" s="270" t="s">
        <v>630</v>
      </c>
      <c r="E344" s="270" t="s">
        <v>34</v>
      </c>
      <c r="F344" s="270" t="s">
        <v>1886</v>
      </c>
      <c r="G344" s="270" t="s">
        <v>44</v>
      </c>
      <c r="H344" s="298">
        <v>12</v>
      </c>
      <c r="I344" s="286"/>
      <c r="J344" s="292"/>
      <c r="K344" s="286"/>
      <c r="L344" s="286"/>
      <c r="M344" s="286"/>
      <c r="N344" s="286"/>
      <c r="O344" s="286"/>
      <c r="P344" s="286">
        <v>15</v>
      </c>
      <c r="Q344" s="286"/>
      <c r="R344" s="286"/>
      <c r="S344" s="286"/>
      <c r="T344" s="286"/>
      <c r="U344" s="286"/>
      <c r="V344" s="286"/>
      <c r="W344" s="286"/>
      <c r="X344" s="286"/>
      <c r="Y344" s="286"/>
      <c r="Z344" s="286"/>
      <c r="AA344" s="286"/>
      <c r="AB344" s="286"/>
      <c r="AC344" s="286"/>
      <c r="AD344" s="286"/>
      <c r="AE344" s="286"/>
      <c r="AF344" s="286"/>
      <c r="AG344" s="286"/>
      <c r="AH344" s="286"/>
      <c r="AI344" s="286"/>
      <c r="AJ344" s="286"/>
      <c r="AK344" s="287"/>
      <c r="AL344" s="288"/>
      <c r="AM344" s="287"/>
      <c r="AN344" s="287"/>
      <c r="AO344" s="287"/>
      <c r="AP344" s="286"/>
      <c r="AQ344" s="296"/>
      <c r="AR344" s="286"/>
      <c r="AS344" s="286"/>
      <c r="AT344" s="286"/>
      <c r="AU344" s="286"/>
      <c r="AV344" s="286"/>
      <c r="AW344" s="286"/>
      <c r="AX344" s="286"/>
      <c r="AY344" s="286"/>
      <c r="AZ344" s="286"/>
      <c r="BA344" s="286"/>
      <c r="BB344" s="286"/>
      <c r="BC344" s="286"/>
      <c r="BD344" s="287"/>
      <c r="BE344" s="287"/>
      <c r="BF344" s="287"/>
      <c r="BG344" s="288"/>
      <c r="BH344" s="287"/>
      <c r="BI344" s="287"/>
      <c r="BJ344" s="287"/>
      <c r="BK344" s="287"/>
      <c r="BL344" s="287"/>
      <c r="BM344" s="287"/>
      <c r="BN344" s="287"/>
      <c r="BO344" s="287"/>
      <c r="BP344" s="287"/>
      <c r="BQ344" s="287"/>
      <c r="BR344" s="287"/>
      <c r="BS344" s="287"/>
      <c r="BT344" s="287"/>
      <c r="BU344" s="287"/>
      <c r="BV344" s="287"/>
      <c r="BW344" s="287"/>
      <c r="BX344" s="286"/>
      <c r="BY344" s="289"/>
      <c r="BZ344" s="289"/>
      <c r="CA344" s="289"/>
      <c r="CB344" s="289"/>
      <c r="CC344" s="289"/>
      <c r="CD344" s="289"/>
      <c r="CE344" s="289"/>
      <c r="CF344" s="289"/>
      <c r="CG344" s="287"/>
      <c r="CH344" s="287"/>
      <c r="CI344" s="287"/>
      <c r="CJ344" s="287"/>
      <c r="CK344" s="287"/>
      <c r="CL344" s="287"/>
      <c r="CM344" s="287"/>
      <c r="CN344" s="287"/>
      <c r="CO344" s="287"/>
      <c r="CP344" s="287"/>
      <c r="CQ344" s="287"/>
      <c r="CR344" s="287"/>
      <c r="CS344" s="6"/>
      <c r="CT344" s="6"/>
      <c r="CU344" s="6"/>
      <c r="CV344" s="6"/>
      <c r="CW344" s="6"/>
      <c r="CX344" s="6"/>
      <c r="CY344" s="6"/>
      <c r="CZ344" s="6"/>
      <c r="DA344" s="343">
        <v>12</v>
      </c>
    </row>
    <row r="345" spans="1:105" ht="20" customHeight="1" x14ac:dyDescent="0.35">
      <c r="A345" s="301"/>
      <c r="B345" s="306" t="s">
        <v>2001</v>
      </c>
      <c r="C345" s="270" t="s">
        <v>2002</v>
      </c>
      <c r="D345" s="270" t="s">
        <v>312</v>
      </c>
      <c r="E345" s="270" t="s">
        <v>34</v>
      </c>
      <c r="F345" s="270" t="s">
        <v>2003</v>
      </c>
      <c r="G345" s="270" t="s">
        <v>36</v>
      </c>
      <c r="H345" s="298">
        <v>46</v>
      </c>
      <c r="I345" s="286"/>
      <c r="J345" s="292">
        <v>52</v>
      </c>
      <c r="K345" s="286"/>
      <c r="L345" s="286"/>
      <c r="M345" s="286"/>
      <c r="N345" s="286"/>
      <c r="O345" s="286"/>
      <c r="P345" s="286"/>
      <c r="Q345" s="286"/>
      <c r="R345" s="286"/>
      <c r="S345" s="286"/>
      <c r="T345" s="286"/>
      <c r="U345" s="286"/>
      <c r="V345" s="286"/>
      <c r="W345" s="286"/>
      <c r="X345" s="286"/>
      <c r="Y345" s="286"/>
      <c r="Z345" s="286"/>
      <c r="AA345" s="286"/>
      <c r="AB345" s="286"/>
      <c r="AC345" s="286"/>
      <c r="AD345" s="286"/>
      <c r="AE345" s="286"/>
      <c r="AF345" s="286"/>
      <c r="AG345" s="286"/>
      <c r="AH345" s="286"/>
      <c r="AI345" s="286"/>
      <c r="AJ345" s="286"/>
      <c r="AK345" s="287"/>
      <c r="AL345" s="288"/>
      <c r="AM345" s="287"/>
      <c r="AN345" s="287"/>
      <c r="AO345" s="287"/>
      <c r="AP345" s="286"/>
      <c r="AQ345" s="296"/>
      <c r="AR345" s="286"/>
      <c r="AS345" s="286"/>
      <c r="AT345" s="286"/>
      <c r="AU345" s="286"/>
      <c r="AV345" s="286"/>
      <c r="AW345" s="286"/>
      <c r="AX345" s="286"/>
      <c r="AY345" s="286"/>
      <c r="AZ345" s="286"/>
      <c r="BA345" s="286"/>
      <c r="BB345" s="286"/>
      <c r="BC345" s="286"/>
      <c r="BD345" s="287"/>
      <c r="BE345" s="287"/>
      <c r="BF345" s="287"/>
      <c r="BG345" s="288"/>
      <c r="BH345" s="287"/>
      <c r="BI345" s="287"/>
      <c r="BJ345" s="287"/>
      <c r="BK345" s="287"/>
      <c r="BL345" s="287"/>
      <c r="BM345" s="287"/>
      <c r="BN345" s="287"/>
      <c r="BO345" s="287"/>
      <c r="BP345" s="287"/>
      <c r="BQ345" s="287"/>
      <c r="BR345" s="287"/>
      <c r="BS345" s="287"/>
      <c r="BT345" s="287"/>
      <c r="BU345" s="287"/>
      <c r="BV345" s="287"/>
      <c r="BW345" s="287"/>
      <c r="BX345" s="286"/>
      <c r="BY345" s="289"/>
      <c r="BZ345" s="289"/>
      <c r="CA345" s="289"/>
      <c r="CB345" s="289"/>
      <c r="CC345" s="289"/>
      <c r="CD345" s="289"/>
      <c r="CE345" s="289"/>
      <c r="CF345" s="289"/>
      <c r="CG345" s="287"/>
      <c r="CH345" s="287"/>
      <c r="CI345" s="287"/>
      <c r="CJ345" s="287"/>
      <c r="CK345" s="287"/>
      <c r="CL345" s="287"/>
      <c r="CM345" s="292">
        <v>52</v>
      </c>
      <c r="CN345" s="287"/>
      <c r="CO345" s="287"/>
      <c r="CP345" s="287"/>
      <c r="CQ345" s="287"/>
      <c r="CR345" s="287"/>
      <c r="CS345" s="6"/>
      <c r="CT345" s="6"/>
      <c r="CU345" s="6"/>
      <c r="CV345" s="6"/>
      <c r="CW345" s="6"/>
      <c r="CX345" s="6"/>
      <c r="CY345" s="6"/>
      <c r="CZ345" s="6"/>
      <c r="DA345" s="343">
        <f t="shared" si="14"/>
        <v>46</v>
      </c>
    </row>
    <row r="346" spans="1:105" ht="20" customHeight="1" x14ac:dyDescent="0.35">
      <c r="A346" s="301"/>
      <c r="B346" s="306" t="s">
        <v>2136</v>
      </c>
      <c r="C346" s="270" t="s">
        <v>2138</v>
      </c>
      <c r="D346" s="270" t="s">
        <v>630</v>
      </c>
      <c r="E346" s="270" t="s">
        <v>34</v>
      </c>
      <c r="F346" s="270" t="s">
        <v>2139</v>
      </c>
      <c r="G346" s="270" t="s">
        <v>44</v>
      </c>
      <c r="H346" s="298"/>
      <c r="I346" s="286"/>
      <c r="J346" s="292"/>
      <c r="K346" s="286"/>
      <c r="L346" s="286"/>
      <c r="M346" s="286"/>
      <c r="N346" s="286"/>
      <c r="O346" s="286"/>
      <c r="P346" s="286"/>
      <c r="Q346" s="286"/>
      <c r="R346" s="286"/>
      <c r="S346" s="286"/>
      <c r="T346" s="286"/>
      <c r="U346" s="286"/>
      <c r="V346" s="286"/>
      <c r="W346" s="286"/>
      <c r="X346" s="286"/>
      <c r="Y346" s="286"/>
      <c r="Z346" s="286"/>
      <c r="AA346" s="286"/>
      <c r="AB346" s="286"/>
      <c r="AC346" s="286"/>
      <c r="AD346" s="286"/>
      <c r="AE346" s="286"/>
      <c r="AF346" s="286"/>
      <c r="AG346" s="286"/>
      <c r="AH346" s="286"/>
      <c r="AI346" s="286"/>
      <c r="AJ346" s="286"/>
      <c r="AK346" s="287"/>
      <c r="AL346" s="288"/>
      <c r="AM346" s="287"/>
      <c r="AN346" s="287"/>
      <c r="AO346" s="287"/>
      <c r="AP346" s="286"/>
      <c r="AQ346" s="296"/>
      <c r="AR346" s="286"/>
      <c r="AS346" s="286"/>
      <c r="AT346" s="286"/>
      <c r="AU346" s="286"/>
      <c r="AV346" s="286"/>
      <c r="AW346" s="286"/>
      <c r="AX346" s="286"/>
      <c r="AY346" s="286"/>
      <c r="AZ346" s="286"/>
      <c r="BA346" s="286"/>
      <c r="BB346" s="286"/>
      <c r="BC346" s="286"/>
      <c r="BD346" s="287"/>
      <c r="BE346" s="287"/>
      <c r="BF346" s="287"/>
      <c r="BG346" s="288"/>
      <c r="BH346" s="287"/>
      <c r="BI346" s="287"/>
      <c r="BJ346" s="287"/>
      <c r="BK346" s="287"/>
      <c r="BL346" s="287"/>
      <c r="BM346" s="287"/>
      <c r="BN346" s="287"/>
      <c r="BO346" s="287"/>
      <c r="BP346" s="287"/>
      <c r="BQ346" s="287"/>
      <c r="BR346" s="287"/>
      <c r="BS346" s="287"/>
      <c r="BT346" s="287"/>
      <c r="BU346" s="287"/>
      <c r="BV346" s="287"/>
      <c r="BW346" s="287"/>
      <c r="BX346" s="286"/>
      <c r="BY346" s="289"/>
      <c r="BZ346" s="289"/>
      <c r="CA346" s="289"/>
      <c r="CB346" s="289"/>
      <c r="CC346" s="289"/>
      <c r="CD346" s="289"/>
      <c r="CE346" s="289"/>
      <c r="CF346" s="289"/>
      <c r="CG346" s="287"/>
      <c r="CH346" s="287"/>
      <c r="CI346" s="287"/>
      <c r="CJ346" s="287"/>
      <c r="CK346" s="287"/>
      <c r="CL346" s="287"/>
      <c r="CM346" s="292"/>
      <c r="CN346" s="287"/>
      <c r="CO346" s="287"/>
      <c r="CP346" s="287"/>
      <c r="CQ346" s="287"/>
      <c r="CR346" s="287"/>
      <c r="CS346" s="6"/>
      <c r="CT346" s="6"/>
      <c r="CU346" s="6"/>
      <c r="CV346" s="6"/>
      <c r="CW346" s="6"/>
      <c r="CX346" s="6"/>
      <c r="CY346" s="6"/>
      <c r="CZ346" s="6"/>
      <c r="DA346" s="343"/>
    </row>
    <row r="347" spans="1:105" ht="20" customHeight="1" x14ac:dyDescent="0.35">
      <c r="A347" s="301"/>
      <c r="B347" s="270" t="s">
        <v>2226</v>
      </c>
      <c r="C347" s="270" t="s">
        <v>2227</v>
      </c>
      <c r="D347" s="270" t="s">
        <v>1078</v>
      </c>
      <c r="E347" s="270" t="s">
        <v>137</v>
      </c>
      <c r="F347" s="270" t="s">
        <v>93</v>
      </c>
      <c r="G347" s="270" t="s">
        <v>91</v>
      </c>
      <c r="H347" s="298">
        <f>74/24</f>
        <v>3.0833333333333335</v>
      </c>
      <c r="I347" s="286"/>
      <c r="J347" s="292"/>
      <c r="K347" s="286"/>
      <c r="L347" s="286"/>
      <c r="M347" s="286"/>
      <c r="N347" s="286"/>
      <c r="O347" s="286"/>
      <c r="P347" s="286"/>
      <c r="Q347" s="286"/>
      <c r="R347" s="286"/>
      <c r="S347" s="286"/>
      <c r="T347" s="286"/>
      <c r="U347" s="286"/>
      <c r="V347" s="286"/>
      <c r="W347" s="286"/>
      <c r="X347" s="286"/>
      <c r="Y347" s="286"/>
      <c r="Z347" s="286"/>
      <c r="AA347" s="286"/>
      <c r="AB347" s="286"/>
      <c r="AC347" s="286"/>
      <c r="AD347" s="286"/>
      <c r="AE347" s="286"/>
      <c r="AF347" s="286"/>
      <c r="AG347" s="286"/>
      <c r="AH347" s="286"/>
      <c r="AI347" s="286"/>
      <c r="AJ347" s="286"/>
      <c r="AK347" s="287"/>
      <c r="AL347" s="288"/>
      <c r="AM347" s="287"/>
      <c r="AN347" s="287"/>
      <c r="AO347" s="287"/>
      <c r="AP347" s="286"/>
      <c r="AQ347" s="296"/>
      <c r="AR347" s="286"/>
      <c r="AS347" s="286"/>
      <c r="AT347" s="286"/>
      <c r="AU347" s="286"/>
      <c r="AV347" s="286"/>
      <c r="AW347" s="286"/>
      <c r="AX347" s="286"/>
      <c r="AY347" s="286"/>
      <c r="AZ347" s="286"/>
      <c r="BA347" s="286"/>
      <c r="BB347" s="286"/>
      <c r="BC347" s="286"/>
      <c r="BD347" s="287"/>
      <c r="BE347" s="287"/>
      <c r="BF347" s="287"/>
      <c r="BG347" s="288"/>
      <c r="BH347" s="287"/>
      <c r="BI347" s="287"/>
      <c r="BJ347" s="287">
        <v>5</v>
      </c>
      <c r="BK347" s="287"/>
      <c r="BL347" s="287"/>
      <c r="BM347" s="287"/>
      <c r="BN347" s="287"/>
      <c r="BO347" s="287"/>
      <c r="BP347" s="287"/>
      <c r="BQ347" s="287"/>
      <c r="BR347" s="287"/>
      <c r="BS347" s="287"/>
      <c r="BT347" s="287"/>
      <c r="BU347" s="287"/>
      <c r="BV347" s="287"/>
      <c r="BW347" s="287"/>
      <c r="BX347" s="286"/>
      <c r="BY347" s="289"/>
      <c r="BZ347" s="289"/>
      <c r="CA347" s="289"/>
      <c r="CB347" s="289"/>
      <c r="CC347" s="289"/>
      <c r="CD347" s="289"/>
      <c r="CE347" s="289"/>
      <c r="CF347" s="289"/>
      <c r="CG347" s="287"/>
      <c r="CH347" s="287"/>
      <c r="CI347" s="287"/>
      <c r="CJ347" s="287"/>
      <c r="CK347" s="287"/>
      <c r="CL347" s="287"/>
      <c r="CM347" s="292"/>
      <c r="CN347" s="287"/>
      <c r="CO347" s="287"/>
      <c r="CP347" s="287"/>
      <c r="CQ347" s="287"/>
      <c r="CR347" s="287"/>
      <c r="CS347" s="6"/>
      <c r="CT347" s="6"/>
      <c r="CU347" s="6"/>
      <c r="CV347" s="6"/>
      <c r="CW347" s="6"/>
      <c r="CX347" s="6"/>
      <c r="CY347" s="6"/>
      <c r="CZ347" s="6"/>
      <c r="DA347" s="343"/>
    </row>
    <row r="348" spans="1:105" ht="20" customHeight="1" x14ac:dyDescent="0.35">
      <c r="A348" s="290"/>
      <c r="B348" s="270" t="s">
        <v>917</v>
      </c>
      <c r="C348" s="270" t="s">
        <v>1442</v>
      </c>
      <c r="D348" s="270" t="s">
        <v>632</v>
      </c>
      <c r="E348" s="270" t="s">
        <v>367</v>
      </c>
      <c r="F348" s="270" t="s">
        <v>2004</v>
      </c>
      <c r="G348" s="270" t="s">
        <v>36</v>
      </c>
      <c r="H348" s="298">
        <v>25</v>
      </c>
      <c r="I348" s="286"/>
      <c r="J348" s="292"/>
      <c r="K348" s="286"/>
      <c r="L348" s="286">
        <v>27</v>
      </c>
      <c r="M348" s="400"/>
      <c r="N348" s="286"/>
      <c r="O348" s="286"/>
      <c r="P348" s="286"/>
      <c r="Q348" s="286"/>
      <c r="R348" s="286"/>
      <c r="S348" s="286">
        <v>32</v>
      </c>
      <c r="T348" s="286"/>
      <c r="U348" s="286"/>
      <c r="V348" s="294"/>
      <c r="W348" s="286"/>
      <c r="X348" s="286"/>
      <c r="Y348" s="286"/>
      <c r="Z348" s="286"/>
      <c r="AA348" s="286"/>
      <c r="AB348" s="286"/>
      <c r="AC348" s="286"/>
      <c r="AD348" s="286"/>
      <c r="AE348" s="286"/>
      <c r="AF348" s="286"/>
      <c r="AG348" s="286"/>
      <c r="AH348" s="286"/>
      <c r="AI348" s="286"/>
      <c r="AJ348" s="286"/>
      <c r="AK348" s="287"/>
      <c r="AL348" s="286">
        <v>34</v>
      </c>
      <c r="AM348" s="287"/>
      <c r="AN348" s="287"/>
      <c r="AO348" s="286">
        <v>34</v>
      </c>
      <c r="AP348" s="286">
        <v>34</v>
      </c>
      <c r="AQ348" s="296"/>
      <c r="AR348" s="286">
        <v>34</v>
      </c>
      <c r="AS348" s="286"/>
      <c r="AT348" s="286">
        <v>34</v>
      </c>
      <c r="AU348" s="286"/>
      <c r="AV348" s="286"/>
      <c r="AW348" s="286">
        <v>34</v>
      </c>
      <c r="AX348" s="286">
        <v>34</v>
      </c>
      <c r="AY348" s="286">
        <v>34</v>
      </c>
      <c r="AZ348" s="286">
        <v>34</v>
      </c>
      <c r="BA348" s="286">
        <v>34</v>
      </c>
      <c r="BB348" s="286">
        <v>34</v>
      </c>
      <c r="BC348" s="286">
        <v>34</v>
      </c>
      <c r="BD348" s="287"/>
      <c r="BE348" s="287"/>
      <c r="BF348" s="287"/>
      <c r="BG348" s="287"/>
      <c r="BH348" s="287"/>
      <c r="BI348" s="287"/>
      <c r="BJ348" s="287"/>
      <c r="BK348" s="287"/>
      <c r="BL348" s="287"/>
      <c r="BM348" s="287"/>
      <c r="BN348" s="287"/>
      <c r="BO348" s="287"/>
      <c r="BP348" s="287"/>
      <c r="BQ348" s="287"/>
      <c r="BR348" s="287"/>
      <c r="BS348" s="287"/>
      <c r="BT348" s="287"/>
      <c r="BU348" s="287"/>
      <c r="BV348" s="287"/>
      <c r="BW348" s="287"/>
      <c r="BX348" s="286">
        <v>34</v>
      </c>
      <c r="BY348" s="289"/>
      <c r="BZ348" s="289"/>
      <c r="CA348" s="289"/>
      <c r="CB348" s="289"/>
      <c r="CC348" s="289"/>
      <c r="CD348" s="289"/>
      <c r="CE348" s="289"/>
      <c r="CF348" s="289"/>
      <c r="CG348" s="287"/>
      <c r="CH348" s="287"/>
      <c r="CI348" s="287"/>
      <c r="CJ348" s="287"/>
      <c r="CK348" s="287"/>
      <c r="CL348" s="287"/>
      <c r="CM348" s="292"/>
      <c r="CN348" s="287"/>
      <c r="CO348" s="292">
        <v>34</v>
      </c>
      <c r="CP348" s="287"/>
      <c r="CQ348" s="287"/>
      <c r="CR348" s="287">
        <v>33</v>
      </c>
      <c r="CS348" s="292"/>
      <c r="CT348" s="6"/>
      <c r="CU348" s="6"/>
      <c r="CV348" s="6"/>
      <c r="CW348" s="6"/>
      <c r="CX348" s="6"/>
      <c r="CY348" s="6"/>
      <c r="CZ348" s="6"/>
      <c r="DA348" s="343">
        <f t="shared" si="14"/>
        <v>25</v>
      </c>
    </row>
    <row r="349" spans="1:105" ht="20" customHeight="1" x14ac:dyDescent="0.35">
      <c r="A349" s="290"/>
      <c r="B349" s="270" t="s">
        <v>918</v>
      </c>
      <c r="C349" s="270" t="s">
        <v>1442</v>
      </c>
      <c r="D349" s="297" t="s">
        <v>632</v>
      </c>
      <c r="E349" s="270" t="s">
        <v>367</v>
      </c>
      <c r="F349" s="270" t="s">
        <v>2005</v>
      </c>
      <c r="G349" s="270" t="s">
        <v>36</v>
      </c>
      <c r="H349" s="298">
        <f>H348/2</f>
        <v>12.5</v>
      </c>
      <c r="I349" s="292"/>
      <c r="J349" s="286"/>
      <c r="K349" s="286"/>
      <c r="L349" s="286"/>
      <c r="M349" s="286"/>
      <c r="N349" s="286"/>
      <c r="O349" s="286"/>
      <c r="P349" s="286"/>
      <c r="Q349" s="286"/>
      <c r="R349" s="286"/>
      <c r="S349" s="286"/>
      <c r="T349" s="286"/>
      <c r="U349" s="286"/>
      <c r="V349" s="294"/>
      <c r="W349" s="286"/>
      <c r="X349" s="286"/>
      <c r="Y349" s="286"/>
      <c r="Z349" s="286"/>
      <c r="AA349" s="286"/>
      <c r="AB349" s="286"/>
      <c r="AC349" s="286"/>
      <c r="AD349" s="286"/>
      <c r="AE349" s="286"/>
      <c r="AF349" s="286"/>
      <c r="AG349" s="286"/>
      <c r="AH349" s="286"/>
      <c r="AI349" s="286"/>
      <c r="AJ349" s="286"/>
      <c r="AK349" s="295"/>
      <c r="AL349" s="288"/>
      <c r="AM349" s="287"/>
      <c r="AN349" s="287"/>
      <c r="AO349" s="287"/>
      <c r="AP349" s="286"/>
      <c r="AQ349" s="296"/>
      <c r="AR349" s="286"/>
      <c r="AS349" s="286"/>
      <c r="AT349" s="286"/>
      <c r="AU349" s="286"/>
      <c r="AV349" s="286"/>
      <c r="AW349" s="286"/>
      <c r="AX349" s="286"/>
      <c r="AY349" s="286"/>
      <c r="AZ349" s="286"/>
      <c r="BA349" s="286"/>
      <c r="BB349" s="286"/>
      <c r="BC349" s="286"/>
      <c r="BD349" s="287"/>
      <c r="BE349" s="287"/>
      <c r="BF349" s="287"/>
      <c r="BG349" s="287"/>
      <c r="BH349" s="287"/>
      <c r="BI349" s="287"/>
      <c r="BJ349" s="287"/>
      <c r="BK349" s="287"/>
      <c r="BL349" s="287"/>
      <c r="BM349" s="287"/>
      <c r="BN349" s="287"/>
      <c r="BO349" s="287"/>
      <c r="BP349" s="287"/>
      <c r="BQ349" s="287"/>
      <c r="BR349" s="287"/>
      <c r="BS349" s="287"/>
      <c r="BT349" s="287"/>
      <c r="BU349" s="287"/>
      <c r="BV349" s="287"/>
      <c r="BW349" s="287"/>
      <c r="BX349" s="286"/>
      <c r="BY349" s="289"/>
      <c r="BZ349" s="289"/>
      <c r="CA349" s="289"/>
      <c r="CB349" s="289"/>
      <c r="CC349" s="289"/>
      <c r="CD349" s="289"/>
      <c r="CE349" s="289"/>
      <c r="CF349" s="289"/>
      <c r="CG349" s="287"/>
      <c r="CH349" s="287"/>
      <c r="CI349" s="287"/>
      <c r="CJ349" s="287"/>
      <c r="CK349" s="287"/>
      <c r="CL349" s="287"/>
      <c r="CM349" s="287"/>
      <c r="CN349" s="287"/>
      <c r="CO349" s="287"/>
      <c r="CP349" s="287"/>
      <c r="CQ349" s="287">
        <v>18</v>
      </c>
      <c r="CR349" s="287"/>
      <c r="CS349" s="296">
        <v>16</v>
      </c>
      <c r="CT349" s="6"/>
      <c r="CU349" s="6"/>
      <c r="CV349" s="6"/>
      <c r="CW349" s="6"/>
      <c r="CX349" s="6"/>
      <c r="CY349" s="6"/>
      <c r="CZ349" s="6"/>
      <c r="DA349" s="343">
        <f t="shared" si="14"/>
        <v>12.5</v>
      </c>
    </row>
    <row r="350" spans="1:105" ht="20" customHeight="1" x14ac:dyDescent="0.35">
      <c r="A350" s="301"/>
      <c r="B350" s="270" t="s">
        <v>919</v>
      </c>
      <c r="C350" s="270" t="s">
        <v>1442</v>
      </c>
      <c r="D350" s="270"/>
      <c r="E350" s="270" t="s">
        <v>669</v>
      </c>
      <c r="F350" s="270" t="s">
        <v>2006</v>
      </c>
      <c r="G350" s="270" t="s">
        <v>36</v>
      </c>
      <c r="H350" s="298">
        <v>77</v>
      </c>
      <c r="I350" s="286"/>
      <c r="J350" s="286"/>
      <c r="K350" s="286"/>
      <c r="L350" s="286"/>
      <c r="M350" s="286"/>
      <c r="N350" s="292">
        <v>85</v>
      </c>
      <c r="O350" s="286">
        <v>85</v>
      </c>
      <c r="P350" s="286"/>
      <c r="Q350" s="286"/>
      <c r="R350" s="286"/>
      <c r="S350" s="286"/>
      <c r="T350" s="286"/>
      <c r="U350" s="286"/>
      <c r="V350" s="286"/>
      <c r="W350" s="286"/>
      <c r="X350" s="286"/>
      <c r="Y350" s="286"/>
      <c r="Z350" s="286"/>
      <c r="AA350" s="286"/>
      <c r="AB350" s="286"/>
      <c r="AC350" s="286"/>
      <c r="AD350" s="286"/>
      <c r="AE350" s="286"/>
      <c r="AF350" s="286"/>
      <c r="AG350" s="286"/>
      <c r="AH350" s="286"/>
      <c r="AI350" s="286"/>
      <c r="AJ350" s="286"/>
      <c r="AK350" s="287"/>
      <c r="AL350" s="288"/>
      <c r="AM350" s="287"/>
      <c r="AN350" s="287"/>
      <c r="AO350" s="287"/>
      <c r="AP350" s="286"/>
      <c r="AQ350" s="296"/>
      <c r="AR350" s="286"/>
      <c r="AS350" s="286"/>
      <c r="AT350" s="286"/>
      <c r="AU350" s="286"/>
      <c r="AV350" s="286"/>
      <c r="AW350" s="286"/>
      <c r="AX350" s="286"/>
      <c r="AY350" s="286"/>
      <c r="AZ350" s="286"/>
      <c r="BA350" s="286"/>
      <c r="BB350" s="286"/>
      <c r="BC350" s="286"/>
      <c r="BD350" s="287"/>
      <c r="BE350" s="287"/>
      <c r="BF350" s="287"/>
      <c r="BG350" s="287"/>
      <c r="BH350" s="287"/>
      <c r="BI350" s="287"/>
      <c r="BJ350" s="287"/>
      <c r="BK350" s="287"/>
      <c r="BL350" s="287"/>
      <c r="BM350" s="287"/>
      <c r="BN350" s="287"/>
      <c r="BO350" s="287"/>
      <c r="BP350" s="287"/>
      <c r="BQ350" s="287"/>
      <c r="BR350" s="287"/>
      <c r="BS350" s="287"/>
      <c r="BT350" s="287"/>
      <c r="BU350" s="287"/>
      <c r="BV350" s="287"/>
      <c r="BW350" s="287"/>
      <c r="BX350" s="286"/>
      <c r="BY350" s="289"/>
      <c r="BZ350" s="289"/>
      <c r="CA350" s="289"/>
      <c r="CB350" s="289"/>
      <c r="CC350" s="289"/>
      <c r="CD350" s="289"/>
      <c r="CE350" s="289"/>
      <c r="CF350" s="289"/>
      <c r="CG350" s="287"/>
      <c r="CH350" s="287"/>
      <c r="CI350" s="287"/>
      <c r="CJ350" s="287"/>
      <c r="CK350" s="287"/>
      <c r="CL350" s="287"/>
      <c r="CM350" s="287"/>
      <c r="CN350" s="287"/>
      <c r="CO350" s="287"/>
      <c r="CP350" s="287"/>
      <c r="CQ350" s="287"/>
      <c r="CR350" s="287"/>
      <c r="CS350" s="6"/>
      <c r="CT350" s="6"/>
      <c r="CU350" s="6"/>
      <c r="CV350" s="6"/>
      <c r="CW350" s="6"/>
      <c r="CX350" s="6"/>
      <c r="CY350" s="6"/>
      <c r="CZ350" s="6"/>
      <c r="DA350" s="343">
        <f t="shared" si="14"/>
        <v>77</v>
      </c>
    </row>
    <row r="351" spans="1:105" ht="20" customHeight="1" x14ac:dyDescent="0.35">
      <c r="A351" s="290"/>
      <c r="B351" s="270" t="s">
        <v>920</v>
      </c>
      <c r="C351" s="270" t="s">
        <v>1442</v>
      </c>
      <c r="D351" s="297" t="s">
        <v>34</v>
      </c>
      <c r="E351" s="270" t="s">
        <v>669</v>
      </c>
      <c r="F351" s="270" t="s">
        <v>1795</v>
      </c>
      <c r="G351" s="270" t="s">
        <v>42</v>
      </c>
      <c r="H351" s="298">
        <f>H350/6</f>
        <v>12.833333333333334</v>
      </c>
      <c r="I351" s="292">
        <v>0</v>
      </c>
      <c r="J351" s="300"/>
      <c r="K351" s="286"/>
      <c r="L351" s="286"/>
      <c r="M351" s="286"/>
      <c r="N351" s="292">
        <v>14.2</v>
      </c>
      <c r="O351" s="286">
        <v>0</v>
      </c>
      <c r="P351" s="286">
        <v>0</v>
      </c>
      <c r="Q351" s="286">
        <v>0</v>
      </c>
      <c r="R351" s="286"/>
      <c r="S351" s="286">
        <v>17</v>
      </c>
      <c r="T351" s="300"/>
      <c r="U351" s="286"/>
      <c r="V351" s="286"/>
      <c r="W351" s="286"/>
      <c r="X351" s="286"/>
      <c r="Y351" s="286"/>
      <c r="Z351" s="286">
        <v>15</v>
      </c>
      <c r="AA351" s="286"/>
      <c r="AB351" s="286"/>
      <c r="AC351" s="286"/>
      <c r="AD351" s="286"/>
      <c r="AE351" s="286">
        <v>17</v>
      </c>
      <c r="AF351" s="286"/>
      <c r="AG351" s="286"/>
      <c r="AH351" s="286"/>
      <c r="AI351" s="286"/>
      <c r="AJ351" s="286"/>
      <c r="AK351" s="287"/>
      <c r="AL351" s="288"/>
      <c r="AM351" s="287"/>
      <c r="AN351" s="287"/>
      <c r="AO351" s="287"/>
      <c r="AP351" s="286"/>
      <c r="AQ351" s="296"/>
      <c r="AR351" s="286"/>
      <c r="AS351" s="286"/>
      <c r="AT351" s="286"/>
      <c r="AU351" s="286"/>
      <c r="AV351" s="286"/>
      <c r="AW351" s="286"/>
      <c r="AX351" s="286"/>
      <c r="AY351" s="286"/>
      <c r="AZ351" s="286"/>
      <c r="BA351" s="286"/>
      <c r="BB351" s="286"/>
      <c r="BC351" s="286"/>
      <c r="BD351" s="287"/>
      <c r="BE351" s="287"/>
      <c r="BF351" s="287"/>
      <c r="BG351" s="287"/>
      <c r="BH351" s="287"/>
      <c r="BI351" s="287"/>
      <c r="BJ351" s="287"/>
      <c r="BK351" s="287"/>
      <c r="BL351" s="287"/>
      <c r="BM351" s="287"/>
      <c r="BN351" s="287"/>
      <c r="BO351" s="287"/>
      <c r="BP351" s="287"/>
      <c r="BQ351" s="287"/>
      <c r="BR351" s="287"/>
      <c r="BS351" s="287"/>
      <c r="BT351" s="287"/>
      <c r="BU351" s="287"/>
      <c r="BV351" s="287"/>
      <c r="BW351" s="287"/>
      <c r="BX351" s="286"/>
      <c r="BY351" s="289"/>
      <c r="BZ351" s="289"/>
      <c r="CA351" s="289"/>
      <c r="CB351" s="289"/>
      <c r="CC351" s="289"/>
      <c r="CD351" s="289"/>
      <c r="CE351" s="289"/>
      <c r="CF351" s="289"/>
      <c r="CG351" s="305"/>
      <c r="CH351" s="287"/>
      <c r="CI351" s="287"/>
      <c r="CJ351" s="287"/>
      <c r="CK351" s="287"/>
      <c r="CL351" s="287"/>
      <c r="CM351" s="287"/>
      <c r="CN351" s="287"/>
      <c r="CO351" s="287"/>
      <c r="CP351" s="287"/>
      <c r="CQ351" s="287"/>
      <c r="CR351" s="287">
        <v>16</v>
      </c>
      <c r="CS351" s="6"/>
      <c r="CT351" s="6"/>
      <c r="CU351" s="6"/>
      <c r="CV351" s="6"/>
      <c r="CW351" s="6"/>
      <c r="CX351" s="6"/>
      <c r="CY351" s="6"/>
      <c r="CZ351" s="6"/>
      <c r="DA351" s="343">
        <f t="shared" si="14"/>
        <v>12.833333333333334</v>
      </c>
    </row>
    <row r="352" spans="1:105" ht="20" customHeight="1" x14ac:dyDescent="0.35">
      <c r="A352" s="290"/>
      <c r="B352" s="270" t="s">
        <v>922</v>
      </c>
      <c r="C352" s="270" t="s">
        <v>1442</v>
      </c>
      <c r="D352" s="297" t="s">
        <v>632</v>
      </c>
      <c r="E352" s="270" t="s">
        <v>41</v>
      </c>
      <c r="F352" s="270" t="s">
        <v>523</v>
      </c>
      <c r="G352" s="270" t="s">
        <v>36</v>
      </c>
      <c r="H352" s="298">
        <v>100</v>
      </c>
      <c r="I352" s="292"/>
      <c r="J352" s="300"/>
      <c r="K352" s="286"/>
      <c r="L352" s="286"/>
      <c r="M352" s="286"/>
      <c r="N352" s="286"/>
      <c r="O352" s="286">
        <v>111</v>
      </c>
      <c r="P352" s="286"/>
      <c r="Q352" s="286"/>
      <c r="R352" s="286"/>
      <c r="S352" s="286"/>
      <c r="T352" s="300"/>
      <c r="U352" s="286"/>
      <c r="V352" s="286"/>
      <c r="W352" s="286"/>
      <c r="X352" s="286"/>
      <c r="Y352" s="286"/>
      <c r="Z352" s="286"/>
      <c r="AA352" s="286"/>
      <c r="AB352" s="286"/>
      <c r="AC352" s="286"/>
      <c r="AD352" s="286"/>
      <c r="AE352" s="286"/>
      <c r="AF352" s="286"/>
      <c r="AG352" s="286"/>
      <c r="AH352" s="286"/>
      <c r="AI352" s="286"/>
      <c r="AJ352" s="286"/>
      <c r="AK352" s="287"/>
      <c r="AL352" s="288"/>
      <c r="AM352" s="287"/>
      <c r="AN352" s="287"/>
      <c r="AO352" s="287"/>
      <c r="AP352" s="286"/>
      <c r="AQ352" s="296"/>
      <c r="AR352" s="286"/>
      <c r="AS352" s="286"/>
      <c r="AT352" s="286"/>
      <c r="AU352" s="286"/>
      <c r="AV352" s="286"/>
      <c r="AW352" s="286"/>
      <c r="AX352" s="286"/>
      <c r="AY352" s="286"/>
      <c r="AZ352" s="286"/>
      <c r="BA352" s="286"/>
      <c r="BB352" s="286"/>
      <c r="BC352" s="286"/>
      <c r="BD352" s="287"/>
      <c r="BE352" s="287"/>
      <c r="BF352" s="287"/>
      <c r="BG352" s="287"/>
      <c r="BH352" s="287"/>
      <c r="BI352" s="287"/>
      <c r="BJ352" s="287"/>
      <c r="BK352" s="287"/>
      <c r="BL352" s="287"/>
      <c r="BM352" s="287"/>
      <c r="BN352" s="287"/>
      <c r="BO352" s="287"/>
      <c r="BP352" s="287"/>
      <c r="BQ352" s="287"/>
      <c r="BR352" s="287"/>
      <c r="BS352" s="287"/>
      <c r="BT352" s="287"/>
      <c r="BU352" s="287"/>
      <c r="BV352" s="287"/>
      <c r="BW352" s="287"/>
      <c r="BX352" s="286"/>
      <c r="BY352" s="289"/>
      <c r="BZ352" s="289"/>
      <c r="CA352" s="289"/>
      <c r="CB352" s="289"/>
      <c r="CC352" s="289"/>
      <c r="CD352" s="289"/>
      <c r="CE352" s="289"/>
      <c r="CF352" s="289"/>
      <c r="CG352" s="305"/>
      <c r="CH352" s="287"/>
      <c r="CI352" s="287"/>
      <c r="CJ352" s="287"/>
      <c r="CK352" s="287"/>
      <c r="CL352" s="287"/>
      <c r="CM352" s="287"/>
      <c r="CN352" s="287"/>
      <c r="CO352" s="287"/>
      <c r="CP352" s="287"/>
      <c r="CQ352" s="287"/>
      <c r="CR352" s="287"/>
      <c r="CS352" s="6"/>
      <c r="CT352" s="6"/>
      <c r="CU352" s="6"/>
      <c r="CV352" s="6"/>
      <c r="CW352" s="6"/>
      <c r="CX352" s="6"/>
      <c r="CY352" s="6"/>
      <c r="CZ352" s="6"/>
      <c r="DA352" s="343">
        <f t="shared" si="14"/>
        <v>100</v>
      </c>
    </row>
    <row r="353" spans="1:105" ht="20" customHeight="1" x14ac:dyDescent="0.35">
      <c r="A353" s="290">
        <v>520742</v>
      </c>
      <c r="B353" s="270" t="s">
        <v>923</v>
      </c>
      <c r="C353" s="270" t="s">
        <v>1442</v>
      </c>
      <c r="D353" s="297" t="s">
        <v>632</v>
      </c>
      <c r="E353" s="270" t="s">
        <v>41</v>
      </c>
      <c r="F353" s="270" t="s">
        <v>72</v>
      </c>
      <c r="G353" s="270" t="s">
        <v>42</v>
      </c>
      <c r="H353" s="298">
        <f>H352/6</f>
        <v>16.666666666666668</v>
      </c>
      <c r="I353" s="300">
        <v>19</v>
      </c>
      <c r="J353" s="286"/>
      <c r="K353" s="286"/>
      <c r="L353" s="286">
        <v>20</v>
      </c>
      <c r="M353" s="400"/>
      <c r="N353" s="292">
        <v>19.5</v>
      </c>
      <c r="O353" s="286">
        <v>20</v>
      </c>
      <c r="P353" s="292">
        <v>19.5</v>
      </c>
      <c r="Q353" s="286">
        <v>20</v>
      </c>
      <c r="R353" s="286">
        <v>20</v>
      </c>
      <c r="S353" s="286"/>
      <c r="T353" s="286"/>
      <c r="U353" s="286"/>
      <c r="V353" s="286"/>
      <c r="W353" s="286"/>
      <c r="X353" s="286"/>
      <c r="Y353" s="286"/>
      <c r="Z353" s="286">
        <v>20</v>
      </c>
      <c r="AA353" s="286"/>
      <c r="AB353" s="286">
        <v>19.5</v>
      </c>
      <c r="AC353" s="286">
        <v>19.5</v>
      </c>
      <c r="AD353" s="286"/>
      <c r="AE353" s="286">
        <v>19.5</v>
      </c>
      <c r="AF353" s="286"/>
      <c r="AG353" s="286"/>
      <c r="AH353" s="286"/>
      <c r="AI353" s="286"/>
      <c r="AJ353" s="286">
        <v>19.5</v>
      </c>
      <c r="AK353" s="295">
        <v>19.5</v>
      </c>
      <c r="AL353" s="288"/>
      <c r="AM353" s="287"/>
      <c r="AN353" s="287"/>
      <c r="AO353" s="287"/>
      <c r="AP353" s="286"/>
      <c r="AQ353" s="296">
        <v>19.5</v>
      </c>
      <c r="AR353" s="286"/>
      <c r="AS353" s="286"/>
      <c r="AT353" s="286"/>
      <c r="AU353" s="286"/>
      <c r="AV353" s="286"/>
      <c r="AW353" s="286"/>
      <c r="AX353" s="286"/>
      <c r="AY353" s="286"/>
      <c r="AZ353" s="286"/>
      <c r="BA353" s="286"/>
      <c r="BB353" s="286"/>
      <c r="BC353" s="286"/>
      <c r="BD353" s="287"/>
      <c r="BE353" s="287"/>
      <c r="BF353" s="287"/>
      <c r="BG353" s="288">
        <v>20</v>
      </c>
      <c r="BH353" s="287"/>
      <c r="BI353" s="287"/>
      <c r="BJ353" s="287"/>
      <c r="BK353" s="287"/>
      <c r="BL353" s="287"/>
      <c r="BM353" s="287"/>
      <c r="BN353" s="287"/>
      <c r="BO353" s="287"/>
      <c r="BP353" s="287"/>
      <c r="BQ353" s="287"/>
      <c r="BR353" s="287"/>
      <c r="BS353" s="287"/>
      <c r="BT353" s="287"/>
      <c r="BU353" s="287">
        <v>19.5</v>
      </c>
      <c r="BV353" s="287"/>
      <c r="BW353" s="287"/>
      <c r="BX353" s="286"/>
      <c r="BY353" s="289">
        <v>20</v>
      </c>
      <c r="BZ353" s="289">
        <v>20</v>
      </c>
      <c r="CA353" s="289"/>
      <c r="CB353" s="289"/>
      <c r="CC353" s="289"/>
      <c r="CD353" s="289"/>
      <c r="CE353" s="289"/>
      <c r="CF353" s="289"/>
      <c r="CG353" s="287"/>
      <c r="CH353" s="287"/>
      <c r="CI353" s="287"/>
      <c r="CJ353" s="287"/>
      <c r="CK353" s="287"/>
      <c r="CL353" s="287"/>
      <c r="CM353" s="287"/>
      <c r="CN353" s="287"/>
      <c r="CO353" s="287"/>
      <c r="CP353" s="287"/>
      <c r="CQ353" s="287">
        <v>21</v>
      </c>
      <c r="CR353" s="287">
        <v>20</v>
      </c>
      <c r="CS353" s="296">
        <v>18</v>
      </c>
      <c r="CT353" s="6"/>
      <c r="CU353" s="6"/>
      <c r="CV353" s="6"/>
      <c r="CW353" s="6"/>
      <c r="CX353" s="6"/>
      <c r="CY353" s="6"/>
      <c r="CZ353" s="6"/>
      <c r="DA353" s="343">
        <f t="shared" si="14"/>
        <v>16.666666666666668</v>
      </c>
    </row>
    <row r="354" spans="1:105" ht="20" customHeight="1" x14ac:dyDescent="0.35">
      <c r="A354" s="290"/>
      <c r="B354" s="270" t="s">
        <v>924</v>
      </c>
      <c r="C354" s="270" t="s">
        <v>1525</v>
      </c>
      <c r="D354" s="297" t="s">
        <v>632</v>
      </c>
      <c r="E354" s="270" t="s">
        <v>41</v>
      </c>
      <c r="F354" s="270" t="s">
        <v>523</v>
      </c>
      <c r="G354" s="270" t="s">
        <v>36</v>
      </c>
      <c r="H354" s="298">
        <v>46.5</v>
      </c>
      <c r="I354" s="292"/>
      <c r="J354" s="286"/>
      <c r="K354" s="286"/>
      <c r="L354" s="286"/>
      <c r="M354" s="286"/>
      <c r="N354" s="286"/>
      <c r="O354" s="286"/>
      <c r="P354" s="286"/>
      <c r="Q354" s="286"/>
      <c r="R354" s="286"/>
      <c r="S354" s="286"/>
      <c r="T354" s="286"/>
      <c r="U354" s="286"/>
      <c r="V354" s="286"/>
      <c r="W354" s="286"/>
      <c r="X354" s="286"/>
      <c r="Y354" s="286"/>
      <c r="Z354" s="286"/>
      <c r="AA354" s="286"/>
      <c r="AB354" s="286"/>
      <c r="AC354" s="286"/>
      <c r="AD354" s="286"/>
      <c r="AE354" s="286"/>
      <c r="AF354" s="286"/>
      <c r="AG354" s="286"/>
      <c r="AH354" s="286"/>
      <c r="AI354" s="286"/>
      <c r="AJ354" s="286"/>
      <c r="AK354" s="287"/>
      <c r="AL354" s="288"/>
      <c r="AM354" s="287"/>
      <c r="AN354" s="287"/>
      <c r="AO354" s="287"/>
      <c r="AP354" s="286"/>
      <c r="AQ354" s="296"/>
      <c r="AR354" s="286"/>
      <c r="AS354" s="286"/>
      <c r="AT354" s="286"/>
      <c r="AU354" s="286"/>
      <c r="AV354" s="286"/>
      <c r="AW354" s="286"/>
      <c r="AX354" s="286"/>
      <c r="AY354" s="286"/>
      <c r="AZ354" s="286"/>
      <c r="BA354" s="286"/>
      <c r="BB354" s="286"/>
      <c r="BC354" s="286"/>
      <c r="BD354" s="287"/>
      <c r="BE354" s="287"/>
      <c r="BF354" s="287"/>
      <c r="BG354" s="287"/>
      <c r="BH354" s="287"/>
      <c r="BI354" s="287"/>
      <c r="BJ354" s="287"/>
      <c r="BK354" s="287"/>
      <c r="BL354" s="287"/>
      <c r="BM354" s="287"/>
      <c r="BN354" s="287"/>
      <c r="BO354" s="287"/>
      <c r="BP354" s="287"/>
      <c r="BQ354" s="287"/>
      <c r="BR354" s="287"/>
      <c r="BS354" s="287"/>
      <c r="BT354" s="287"/>
      <c r="BU354" s="287"/>
      <c r="BV354" s="287"/>
      <c r="BW354" s="287"/>
      <c r="BX354" s="286"/>
      <c r="BY354" s="289"/>
      <c r="BZ354" s="289"/>
      <c r="CA354" s="289"/>
      <c r="CB354" s="289"/>
      <c r="CC354" s="289"/>
      <c r="CD354" s="289"/>
      <c r="CE354" s="289"/>
      <c r="CF354" s="289"/>
      <c r="CG354" s="287"/>
      <c r="CH354" s="287"/>
      <c r="CI354" s="287"/>
      <c r="CJ354" s="287"/>
      <c r="CK354" s="287"/>
      <c r="CL354" s="287"/>
      <c r="CM354" s="287"/>
      <c r="CN354" s="287"/>
      <c r="CO354" s="287"/>
      <c r="CP354" s="287"/>
      <c r="CQ354" s="287">
        <v>10</v>
      </c>
      <c r="CR354" s="287"/>
      <c r="CS354" s="6"/>
      <c r="CT354" s="6"/>
      <c r="CU354" s="6"/>
      <c r="CV354" s="6"/>
      <c r="CW354" s="6"/>
      <c r="CX354" s="6"/>
      <c r="CY354" s="6"/>
      <c r="CZ354" s="6"/>
      <c r="DA354" s="343">
        <f t="shared" si="14"/>
        <v>46.5</v>
      </c>
    </row>
    <row r="355" spans="1:105" ht="20" customHeight="1" x14ac:dyDescent="0.35">
      <c r="A355" s="290" t="s">
        <v>88</v>
      </c>
      <c r="B355" s="270" t="s">
        <v>925</v>
      </c>
      <c r="C355" s="270" t="s">
        <v>1525</v>
      </c>
      <c r="D355" s="297" t="s">
        <v>632</v>
      </c>
      <c r="E355" s="270" t="s">
        <v>41</v>
      </c>
      <c r="F355" s="270" t="s">
        <v>1778</v>
      </c>
      <c r="G355" s="270" t="s">
        <v>42</v>
      </c>
      <c r="H355" s="298">
        <f>H354/6</f>
        <v>7.75</v>
      </c>
      <c r="I355" s="292">
        <v>9.5</v>
      </c>
      <c r="J355" s="292">
        <v>9.5</v>
      </c>
      <c r="K355" s="286"/>
      <c r="L355" s="286">
        <v>10</v>
      </c>
      <c r="M355" s="286"/>
      <c r="N355" s="292">
        <v>10</v>
      </c>
      <c r="O355" s="286"/>
      <c r="P355" s="292">
        <v>10</v>
      </c>
      <c r="Q355" s="286">
        <v>10</v>
      </c>
      <c r="R355" s="286">
        <v>10</v>
      </c>
      <c r="S355" s="286">
        <v>10.5</v>
      </c>
      <c r="T355" s="287">
        <v>9.5</v>
      </c>
      <c r="U355" s="286"/>
      <c r="V355" s="294"/>
      <c r="W355" s="286"/>
      <c r="X355" s="286"/>
      <c r="Y355" s="286">
        <v>10</v>
      </c>
      <c r="Z355" s="286">
        <v>9.5</v>
      </c>
      <c r="AA355" s="286"/>
      <c r="AB355" s="286">
        <v>10</v>
      </c>
      <c r="AC355" s="286">
        <v>10</v>
      </c>
      <c r="AD355" s="286"/>
      <c r="AE355" s="286">
        <v>10</v>
      </c>
      <c r="AF355" s="286"/>
      <c r="AG355" s="286"/>
      <c r="AH355" s="286"/>
      <c r="AI355" s="286"/>
      <c r="AJ355" s="286">
        <v>10</v>
      </c>
      <c r="AK355" s="295">
        <v>10</v>
      </c>
      <c r="AL355" s="288"/>
      <c r="AM355" s="287"/>
      <c r="AN355" s="287"/>
      <c r="AO355" s="287"/>
      <c r="AP355" s="287"/>
      <c r="AQ355" s="322">
        <v>10</v>
      </c>
      <c r="AR355" s="286">
        <v>9.5</v>
      </c>
      <c r="AS355" s="286"/>
      <c r="AT355" s="287"/>
      <c r="AU355" s="287"/>
      <c r="AV355" s="292">
        <v>9.5</v>
      </c>
      <c r="AW355" s="287"/>
      <c r="AX355" s="287"/>
      <c r="AY355" s="287"/>
      <c r="AZ355" s="287"/>
      <c r="BA355" s="287"/>
      <c r="BB355" s="287"/>
      <c r="BC355" s="287"/>
      <c r="BD355" s="287"/>
      <c r="BE355" s="287"/>
      <c r="BF355" s="287"/>
      <c r="BG355" s="288">
        <v>10.5</v>
      </c>
      <c r="BH355" s="287">
        <v>9.5</v>
      </c>
      <c r="BI355" s="287"/>
      <c r="BJ355" s="287">
        <v>10.5</v>
      </c>
      <c r="BK355" s="287"/>
      <c r="BL355" s="287"/>
      <c r="BM355" s="287"/>
      <c r="BN355" s="287"/>
      <c r="BO355" s="287"/>
      <c r="BP355" s="287"/>
      <c r="BQ355" s="287"/>
      <c r="BR355" s="287"/>
      <c r="BS355" s="287"/>
      <c r="BT355" s="287"/>
      <c r="BU355" s="287"/>
      <c r="BV355" s="287"/>
      <c r="BW355" s="287"/>
      <c r="BX355" s="286"/>
      <c r="BY355" s="289"/>
      <c r="BZ355" s="289">
        <v>10</v>
      </c>
      <c r="CA355" s="289"/>
      <c r="CB355" s="289"/>
      <c r="CC355" s="289"/>
      <c r="CD355" s="289"/>
      <c r="CE355" s="289"/>
      <c r="CF355" s="289"/>
      <c r="CG355" s="305"/>
      <c r="CH355" s="287"/>
      <c r="CI355" s="287"/>
      <c r="CJ355" s="287"/>
      <c r="CK355" s="287"/>
      <c r="CL355" s="287"/>
      <c r="CM355" s="287"/>
      <c r="CN355" s="287"/>
      <c r="CO355" s="287"/>
      <c r="CP355" s="287"/>
      <c r="CQ355" s="287"/>
      <c r="CR355" s="287"/>
      <c r="CS355" s="296">
        <v>9.5</v>
      </c>
      <c r="CT355" s="6"/>
      <c r="CU355" s="6"/>
      <c r="CV355" s="6"/>
      <c r="CW355" s="6"/>
      <c r="CX355" s="6"/>
      <c r="CY355" s="6"/>
      <c r="CZ355" s="6"/>
      <c r="DA355" s="343">
        <f t="shared" si="14"/>
        <v>7.75</v>
      </c>
    </row>
    <row r="356" spans="1:105" ht="20" customHeight="1" x14ac:dyDescent="0.35">
      <c r="A356" s="290" t="s">
        <v>1776</v>
      </c>
      <c r="B356" s="270" t="s">
        <v>1518</v>
      </c>
      <c r="C356" s="270" t="s">
        <v>1525</v>
      </c>
      <c r="D356" s="297" t="s">
        <v>632</v>
      </c>
      <c r="E356" s="270" t="s">
        <v>41</v>
      </c>
      <c r="F356" s="270" t="s">
        <v>72</v>
      </c>
      <c r="G356" s="270" t="s">
        <v>42</v>
      </c>
      <c r="H356" s="298">
        <f>H354/6</f>
        <v>7.75</v>
      </c>
      <c r="I356" s="292"/>
      <c r="J356" s="287"/>
      <c r="K356" s="286"/>
      <c r="L356" s="286"/>
      <c r="M356" s="286"/>
      <c r="N356" s="292"/>
      <c r="O356" s="286"/>
      <c r="P356" s="292"/>
      <c r="Q356" s="286"/>
      <c r="R356" s="286"/>
      <c r="S356" s="286"/>
      <c r="T356" s="287"/>
      <c r="U356" s="286"/>
      <c r="V356" s="294"/>
      <c r="W356" s="286"/>
      <c r="X356" s="286"/>
      <c r="Y356" s="286"/>
      <c r="Z356" s="286"/>
      <c r="AA356" s="286"/>
      <c r="AB356" s="286"/>
      <c r="AC356" s="286"/>
      <c r="AD356" s="286"/>
      <c r="AE356" s="286"/>
      <c r="AF356" s="286"/>
      <c r="AG356" s="286"/>
      <c r="AH356" s="286"/>
      <c r="AI356" s="286"/>
      <c r="AJ356" s="286"/>
      <c r="AK356" s="295"/>
      <c r="AL356" s="288"/>
      <c r="AM356" s="287"/>
      <c r="AN356" s="287"/>
      <c r="AO356" s="287"/>
      <c r="AP356" s="287"/>
      <c r="AQ356" s="322"/>
      <c r="AR356" s="287"/>
      <c r="AS356" s="286"/>
      <c r="AT356" s="287"/>
      <c r="AU356" s="287"/>
      <c r="AV356" s="287"/>
      <c r="AW356" s="287"/>
      <c r="AX356" s="287"/>
      <c r="AY356" s="287"/>
      <c r="AZ356" s="287"/>
      <c r="BA356" s="287"/>
      <c r="BB356" s="287"/>
      <c r="BC356" s="287"/>
      <c r="BD356" s="287"/>
      <c r="BE356" s="287"/>
      <c r="BF356" s="287"/>
      <c r="BG356" s="288"/>
      <c r="BH356" s="287"/>
      <c r="BI356" s="287"/>
      <c r="BJ356" s="287"/>
      <c r="BK356" s="287"/>
      <c r="BL356" s="287"/>
      <c r="BM356" s="287"/>
      <c r="BN356" s="287"/>
      <c r="BO356" s="287"/>
      <c r="BP356" s="287"/>
      <c r="BQ356" s="287"/>
      <c r="BR356" s="287"/>
      <c r="BS356" s="287"/>
      <c r="BT356" s="287"/>
      <c r="BU356" s="287"/>
      <c r="BV356" s="287"/>
      <c r="BW356" s="287"/>
      <c r="BX356" s="286"/>
      <c r="BY356" s="289"/>
      <c r="BZ356" s="289"/>
      <c r="CA356" s="289"/>
      <c r="CB356" s="289"/>
      <c r="CC356" s="289"/>
      <c r="CD356" s="289"/>
      <c r="CE356" s="289"/>
      <c r="CF356" s="289">
        <v>10</v>
      </c>
      <c r="CG356" s="305"/>
      <c r="CH356" s="287"/>
      <c r="CI356" s="287"/>
      <c r="CJ356" s="287"/>
      <c r="CK356" s="287"/>
      <c r="CL356" s="287"/>
      <c r="CM356" s="287"/>
      <c r="CN356" s="287"/>
      <c r="CO356" s="287"/>
      <c r="CP356" s="287"/>
      <c r="CQ356" s="287"/>
      <c r="CR356" s="287"/>
      <c r="CS356" s="323"/>
      <c r="CT356" s="6"/>
      <c r="CU356" s="6"/>
      <c r="CV356" s="6"/>
      <c r="CW356" s="6"/>
      <c r="CX356" s="6"/>
      <c r="CY356" s="6"/>
      <c r="CZ356" s="6"/>
      <c r="DA356" s="343">
        <f t="shared" si="14"/>
        <v>7.75</v>
      </c>
    </row>
    <row r="357" spans="1:105" ht="20" customHeight="1" x14ac:dyDescent="0.35">
      <c r="A357" s="290"/>
      <c r="B357" s="270" t="s">
        <v>926</v>
      </c>
      <c r="C357" s="270" t="s">
        <v>1629</v>
      </c>
      <c r="D357" s="297" t="s">
        <v>632</v>
      </c>
      <c r="E357" s="270" t="s">
        <v>41</v>
      </c>
      <c r="F357" s="270" t="s">
        <v>523</v>
      </c>
      <c r="G357" s="270" t="s">
        <v>36</v>
      </c>
      <c r="H357" s="298">
        <v>46</v>
      </c>
      <c r="I357" s="292"/>
      <c r="J357" s="300"/>
      <c r="K357" s="286"/>
      <c r="L357" s="286"/>
      <c r="M357" s="286"/>
      <c r="N357" s="286"/>
      <c r="O357" s="286"/>
      <c r="P357" s="286"/>
      <c r="Q357" s="286"/>
      <c r="R357" s="286"/>
      <c r="S357" s="286"/>
      <c r="T357" s="300"/>
      <c r="U357" s="286"/>
      <c r="V357" s="294"/>
      <c r="W357" s="286"/>
      <c r="X357" s="286"/>
      <c r="Y357" s="286"/>
      <c r="Z357" s="286"/>
      <c r="AA357" s="286"/>
      <c r="AB357" s="286"/>
      <c r="AC357" s="286"/>
      <c r="AD357" s="286"/>
      <c r="AE357" s="286"/>
      <c r="AF357" s="286"/>
      <c r="AG357" s="286"/>
      <c r="AH357" s="286"/>
      <c r="AI357" s="286"/>
      <c r="AJ357" s="286"/>
      <c r="AK357" s="287"/>
      <c r="AL357" s="288"/>
      <c r="AM357" s="287"/>
      <c r="AN357" s="287"/>
      <c r="AO357" s="287"/>
      <c r="AP357" s="286"/>
      <c r="AQ357" s="296"/>
      <c r="AR357" s="286"/>
      <c r="AS357" s="286"/>
      <c r="AT357" s="286"/>
      <c r="AU357" s="286"/>
      <c r="AV357" s="286"/>
      <c r="AW357" s="286"/>
      <c r="AX357" s="286"/>
      <c r="AY357" s="286"/>
      <c r="AZ357" s="286"/>
      <c r="BA357" s="286"/>
      <c r="BB357" s="286"/>
      <c r="BC357" s="286"/>
      <c r="BD357" s="287"/>
      <c r="BE357" s="287"/>
      <c r="BF357" s="287"/>
      <c r="BG357" s="287"/>
      <c r="BH357" s="287"/>
      <c r="BI357" s="287"/>
      <c r="BJ357" s="287"/>
      <c r="BK357" s="287"/>
      <c r="BL357" s="287"/>
      <c r="BM357" s="287"/>
      <c r="BN357" s="287"/>
      <c r="BO357" s="287"/>
      <c r="BP357" s="287"/>
      <c r="BQ357" s="287"/>
      <c r="BR357" s="287"/>
      <c r="BS357" s="287"/>
      <c r="BT357" s="287"/>
      <c r="BU357" s="287"/>
      <c r="BV357" s="287"/>
      <c r="BW357" s="287"/>
      <c r="BX357" s="286"/>
      <c r="BY357" s="289"/>
      <c r="BZ357" s="289"/>
      <c r="CA357" s="289"/>
      <c r="CB357" s="289"/>
      <c r="CC357" s="289"/>
      <c r="CD357" s="289"/>
      <c r="CE357" s="289"/>
      <c r="CF357" s="289"/>
      <c r="CG357" s="305"/>
      <c r="CH357" s="287"/>
      <c r="CI357" s="287"/>
      <c r="CJ357" s="287"/>
      <c r="CK357" s="287"/>
      <c r="CL357" s="287"/>
      <c r="CM357" s="287"/>
      <c r="CN357" s="287"/>
      <c r="CO357" s="287"/>
      <c r="CP357" s="287"/>
      <c r="CQ357" s="287"/>
      <c r="CR357" s="287"/>
      <c r="CS357" s="6"/>
      <c r="CT357" s="6"/>
      <c r="CU357" s="6"/>
      <c r="CV357" s="6"/>
      <c r="CW357" s="6"/>
      <c r="CX357" s="6"/>
      <c r="CY357" s="6"/>
      <c r="CZ357" s="6"/>
      <c r="DA357" s="343">
        <f t="shared" si="14"/>
        <v>46</v>
      </c>
    </row>
    <row r="358" spans="1:105" ht="20" customHeight="1" x14ac:dyDescent="0.35">
      <c r="A358" s="290"/>
      <c r="B358" s="270" t="s">
        <v>927</v>
      </c>
      <c r="C358" s="270" t="s">
        <v>1629</v>
      </c>
      <c r="D358" s="297" t="s">
        <v>632</v>
      </c>
      <c r="E358" s="270" t="s">
        <v>41</v>
      </c>
      <c r="F358" s="270" t="s">
        <v>72</v>
      </c>
      <c r="G358" s="270" t="s">
        <v>42</v>
      </c>
      <c r="H358" s="298">
        <f>H357/6</f>
        <v>7.666666666666667</v>
      </c>
      <c r="I358" s="292">
        <v>9.8000000000000007</v>
      </c>
      <c r="J358" s="292">
        <v>9.5</v>
      </c>
      <c r="K358" s="286"/>
      <c r="L358" s="286"/>
      <c r="M358" s="286"/>
      <c r="N358" s="286"/>
      <c r="O358" s="286"/>
      <c r="P358" s="286"/>
      <c r="Q358" s="286"/>
      <c r="R358" s="286"/>
      <c r="S358" s="286"/>
      <c r="T358" s="286">
        <v>9.5</v>
      </c>
      <c r="U358" s="286"/>
      <c r="V358" s="294"/>
      <c r="W358" s="286"/>
      <c r="X358" s="286"/>
      <c r="Y358" s="286"/>
      <c r="Z358" s="286"/>
      <c r="AA358" s="286"/>
      <c r="AB358" s="286"/>
      <c r="AC358" s="286"/>
      <c r="AD358" s="286"/>
      <c r="AE358" s="286"/>
      <c r="AF358" s="286"/>
      <c r="AG358" s="286"/>
      <c r="AH358" s="286"/>
      <c r="AI358" s="286"/>
      <c r="AJ358" s="286"/>
      <c r="AK358" s="295">
        <v>10.5</v>
      </c>
      <c r="AL358" s="288"/>
      <c r="AM358" s="287"/>
      <c r="AN358" s="287"/>
      <c r="AO358" s="287"/>
      <c r="AP358" s="286"/>
      <c r="AQ358" s="296"/>
      <c r="AR358" s="286"/>
      <c r="AS358" s="286"/>
      <c r="AT358" s="286"/>
      <c r="AU358" s="286"/>
      <c r="AV358" s="286"/>
      <c r="AW358" s="286"/>
      <c r="AX358" s="286"/>
      <c r="AY358" s="286"/>
      <c r="AZ358" s="286"/>
      <c r="BA358" s="286"/>
      <c r="BB358" s="286"/>
      <c r="BC358" s="286"/>
      <c r="BD358" s="287"/>
      <c r="BE358" s="287"/>
      <c r="BF358" s="287"/>
      <c r="BG358" s="288">
        <v>11</v>
      </c>
      <c r="BH358" s="287"/>
      <c r="BI358" s="287"/>
      <c r="BJ358" s="287"/>
      <c r="BK358" s="287"/>
      <c r="BL358" s="287"/>
      <c r="BM358" s="287"/>
      <c r="BN358" s="287"/>
      <c r="BO358" s="287"/>
      <c r="BP358" s="287"/>
      <c r="BQ358" s="287"/>
      <c r="BR358" s="287"/>
      <c r="BS358" s="287"/>
      <c r="BT358" s="287"/>
      <c r="BU358" s="287"/>
      <c r="BV358" s="287"/>
      <c r="BW358" s="287"/>
      <c r="BX358" s="286"/>
      <c r="BY358" s="289"/>
      <c r="BZ358" s="289"/>
      <c r="CA358" s="289"/>
      <c r="CB358" s="289"/>
      <c r="CC358" s="289"/>
      <c r="CD358" s="289"/>
      <c r="CE358" s="289"/>
      <c r="CF358" s="289"/>
      <c r="CG358" s="287"/>
      <c r="CH358" s="287"/>
      <c r="CI358" s="287"/>
      <c r="CJ358" s="287"/>
      <c r="CK358" s="287"/>
      <c r="CL358" s="287"/>
      <c r="CM358" s="287"/>
      <c r="CN358" s="287"/>
      <c r="CO358" s="287"/>
      <c r="CP358" s="287"/>
      <c r="CQ358" s="287">
        <v>10</v>
      </c>
      <c r="CR358" s="287"/>
      <c r="CS358" s="296">
        <v>9.8000000000000007</v>
      </c>
      <c r="CT358" s="6"/>
      <c r="CU358" s="6"/>
      <c r="CV358" s="6"/>
      <c r="CW358" s="6"/>
      <c r="CX358" s="6"/>
      <c r="CY358" s="6"/>
      <c r="CZ358" s="6"/>
      <c r="DA358" s="343">
        <f t="shared" si="14"/>
        <v>7.666666666666667</v>
      </c>
    </row>
    <row r="359" spans="1:105" ht="20" customHeight="1" x14ac:dyDescent="0.35">
      <c r="A359" s="290"/>
      <c r="B359" s="270" t="s">
        <v>928</v>
      </c>
      <c r="C359" s="270" t="s">
        <v>1538</v>
      </c>
      <c r="D359" s="297" t="s">
        <v>632</v>
      </c>
      <c r="E359" s="270" t="s">
        <v>41</v>
      </c>
      <c r="F359" s="270" t="s">
        <v>523</v>
      </c>
      <c r="G359" s="270" t="s">
        <v>36</v>
      </c>
      <c r="H359" s="298">
        <v>42</v>
      </c>
      <c r="I359" s="292"/>
      <c r="J359" s="286"/>
      <c r="K359" s="286"/>
      <c r="L359" s="286"/>
      <c r="M359" s="286"/>
      <c r="N359" s="286"/>
      <c r="O359" s="286"/>
      <c r="P359" s="286"/>
      <c r="Q359" s="286"/>
      <c r="R359" s="286"/>
      <c r="S359" s="286"/>
      <c r="T359" s="286"/>
      <c r="U359" s="286"/>
      <c r="V359" s="294"/>
      <c r="W359" s="286"/>
      <c r="X359" s="286"/>
      <c r="Y359" s="286"/>
      <c r="Z359" s="286"/>
      <c r="AA359" s="286"/>
      <c r="AB359" s="286"/>
      <c r="AC359" s="286"/>
      <c r="AD359" s="286"/>
      <c r="AE359" s="286"/>
      <c r="AF359" s="286"/>
      <c r="AG359" s="286"/>
      <c r="AH359" s="286"/>
      <c r="AI359" s="286"/>
      <c r="AJ359" s="286"/>
      <c r="AK359" s="287"/>
      <c r="AL359" s="288"/>
      <c r="AM359" s="287"/>
      <c r="AN359" s="287"/>
      <c r="AO359" s="287"/>
      <c r="AP359" s="286"/>
      <c r="AQ359" s="296"/>
      <c r="AR359" s="286"/>
      <c r="AS359" s="286"/>
      <c r="AT359" s="286"/>
      <c r="AU359" s="286"/>
      <c r="AV359" s="286"/>
      <c r="AW359" s="286"/>
      <c r="AX359" s="286"/>
      <c r="AY359" s="286"/>
      <c r="AZ359" s="286"/>
      <c r="BA359" s="286"/>
      <c r="BB359" s="286"/>
      <c r="BC359" s="286"/>
      <c r="BD359" s="287"/>
      <c r="BE359" s="287"/>
      <c r="BF359" s="287"/>
      <c r="BG359" s="287"/>
      <c r="BH359" s="287"/>
      <c r="BI359" s="287"/>
      <c r="BJ359" s="287"/>
      <c r="BK359" s="287"/>
      <c r="BL359" s="287"/>
      <c r="BM359" s="287"/>
      <c r="BN359" s="287"/>
      <c r="BO359" s="287"/>
      <c r="BP359" s="287"/>
      <c r="BQ359" s="287"/>
      <c r="BR359" s="287"/>
      <c r="BS359" s="287"/>
      <c r="BT359" s="287"/>
      <c r="BU359" s="287"/>
      <c r="BV359" s="287"/>
      <c r="BW359" s="287"/>
      <c r="BX359" s="286"/>
      <c r="BY359" s="289"/>
      <c r="BZ359" s="289"/>
      <c r="CA359" s="289"/>
      <c r="CB359" s="289"/>
      <c r="CC359" s="289"/>
      <c r="CD359" s="289"/>
      <c r="CE359" s="289"/>
      <c r="CF359" s="289"/>
      <c r="CG359" s="287"/>
      <c r="CH359" s="287"/>
      <c r="CI359" s="287"/>
      <c r="CJ359" s="287"/>
      <c r="CK359" s="287"/>
      <c r="CL359" s="287"/>
      <c r="CM359" s="287"/>
      <c r="CN359" s="287"/>
      <c r="CO359" s="287"/>
      <c r="CP359" s="287"/>
      <c r="CQ359" s="287"/>
      <c r="CR359" s="287"/>
      <c r="CS359" s="6"/>
      <c r="CT359" s="6"/>
      <c r="CU359" s="6"/>
      <c r="CV359" s="6"/>
      <c r="CW359" s="6"/>
      <c r="CX359" s="6"/>
      <c r="CY359" s="6"/>
      <c r="CZ359" s="6"/>
      <c r="DA359" s="343">
        <f t="shared" si="14"/>
        <v>42</v>
      </c>
    </row>
    <row r="360" spans="1:105" ht="20" customHeight="1" x14ac:dyDescent="0.35">
      <c r="A360" s="290" t="s">
        <v>1188</v>
      </c>
      <c r="B360" s="270" t="s">
        <v>929</v>
      </c>
      <c r="C360" s="270" t="s">
        <v>1538</v>
      </c>
      <c r="D360" s="297" t="s">
        <v>632</v>
      </c>
      <c r="E360" s="270" t="s">
        <v>41</v>
      </c>
      <c r="F360" s="270" t="s">
        <v>72</v>
      </c>
      <c r="G360" s="270" t="s">
        <v>42</v>
      </c>
      <c r="H360" s="298">
        <f>H359/6</f>
        <v>7</v>
      </c>
      <c r="I360" s="292">
        <v>10</v>
      </c>
      <c r="J360" s="292">
        <v>10</v>
      </c>
      <c r="K360" s="286"/>
      <c r="L360" s="286">
        <v>10</v>
      </c>
      <c r="M360" s="286"/>
      <c r="N360" s="286"/>
      <c r="O360" s="286"/>
      <c r="P360" s="292">
        <v>10</v>
      </c>
      <c r="Q360" s="286">
        <v>10</v>
      </c>
      <c r="R360" s="286">
        <v>10</v>
      </c>
      <c r="S360" s="286"/>
      <c r="T360" s="286">
        <v>10</v>
      </c>
      <c r="U360" s="286"/>
      <c r="V360" s="294"/>
      <c r="W360" s="286"/>
      <c r="X360" s="286"/>
      <c r="Y360" s="286">
        <v>10</v>
      </c>
      <c r="Z360" s="286">
        <v>10</v>
      </c>
      <c r="AA360" s="286"/>
      <c r="AB360" s="286">
        <v>10</v>
      </c>
      <c r="AC360" s="286">
        <v>10</v>
      </c>
      <c r="AD360" s="286"/>
      <c r="AE360" s="286"/>
      <c r="AF360" s="286"/>
      <c r="AG360" s="286"/>
      <c r="AH360" s="286"/>
      <c r="AI360" s="286"/>
      <c r="AJ360" s="286">
        <v>9.5</v>
      </c>
      <c r="AK360" s="295">
        <v>10.5</v>
      </c>
      <c r="AL360" s="288">
        <v>10</v>
      </c>
      <c r="AM360" s="287"/>
      <c r="AN360" s="287"/>
      <c r="AO360" s="292">
        <v>10</v>
      </c>
      <c r="AP360" s="286">
        <v>10</v>
      </c>
      <c r="AQ360" s="296">
        <v>11.5</v>
      </c>
      <c r="AR360" s="286">
        <v>10</v>
      </c>
      <c r="AS360" s="286"/>
      <c r="AT360" s="286">
        <v>10</v>
      </c>
      <c r="AU360" s="286">
        <v>10</v>
      </c>
      <c r="AV360" s="286">
        <v>10</v>
      </c>
      <c r="AW360" s="286">
        <v>10</v>
      </c>
      <c r="AX360" s="286">
        <v>10</v>
      </c>
      <c r="AY360" s="286">
        <v>10</v>
      </c>
      <c r="AZ360" s="286">
        <v>10</v>
      </c>
      <c r="BA360" s="286">
        <v>10</v>
      </c>
      <c r="BB360" s="286">
        <v>10</v>
      </c>
      <c r="BC360" s="286">
        <v>10</v>
      </c>
      <c r="BD360" s="287"/>
      <c r="BE360" s="287"/>
      <c r="BF360" s="287"/>
      <c r="BG360" s="288">
        <v>10.5</v>
      </c>
      <c r="BH360" s="287">
        <v>10</v>
      </c>
      <c r="BI360" s="287"/>
      <c r="BJ360" s="287"/>
      <c r="BK360" s="287"/>
      <c r="BL360" s="287"/>
      <c r="BM360" s="287"/>
      <c r="BN360" s="287"/>
      <c r="BO360" s="287"/>
      <c r="BP360" s="287"/>
      <c r="BQ360" s="287"/>
      <c r="BR360" s="287"/>
      <c r="BS360" s="287">
        <f>11/110*100</f>
        <v>10</v>
      </c>
      <c r="BT360" s="287"/>
      <c r="BU360" s="287"/>
      <c r="BV360" s="287"/>
      <c r="BW360" s="287"/>
      <c r="BX360" s="286"/>
      <c r="BY360" s="289"/>
      <c r="BZ360" s="289">
        <v>10</v>
      </c>
      <c r="CA360" s="289"/>
      <c r="CB360" s="289"/>
      <c r="CC360" s="289"/>
      <c r="CD360" s="289"/>
      <c r="CE360" s="289"/>
      <c r="CF360" s="289">
        <v>10</v>
      </c>
      <c r="CG360" s="287"/>
      <c r="CH360" s="287"/>
      <c r="CI360" s="287"/>
      <c r="CJ360" s="287">
        <v>9.4</v>
      </c>
      <c r="CK360" s="287"/>
      <c r="CL360" s="287"/>
      <c r="CM360" s="292">
        <v>10</v>
      </c>
      <c r="CN360" s="292">
        <v>10</v>
      </c>
      <c r="CO360" s="292">
        <v>10</v>
      </c>
      <c r="CP360" s="287"/>
      <c r="CQ360" s="287">
        <v>10</v>
      </c>
      <c r="CR360" s="287"/>
      <c r="CS360" s="296">
        <v>10</v>
      </c>
      <c r="CT360" s="6"/>
      <c r="CU360" s="6"/>
      <c r="CV360" s="6"/>
      <c r="CW360" s="6"/>
      <c r="CX360" s="6"/>
      <c r="CY360" s="6"/>
      <c r="CZ360" s="6"/>
      <c r="DA360" s="343">
        <f t="shared" si="14"/>
        <v>7</v>
      </c>
    </row>
    <row r="361" spans="1:105" ht="20" customHeight="1" x14ac:dyDescent="0.35">
      <c r="A361" s="290" t="s">
        <v>64</v>
      </c>
      <c r="B361" s="270" t="s">
        <v>930</v>
      </c>
      <c r="C361" s="270" t="s">
        <v>1539</v>
      </c>
      <c r="D361" s="297" t="s">
        <v>632</v>
      </c>
      <c r="E361" s="270" t="s">
        <v>544</v>
      </c>
      <c r="F361" s="270" t="s">
        <v>2004</v>
      </c>
      <c r="G361" s="270" t="s">
        <v>36</v>
      </c>
      <c r="H361" s="298">
        <f>4200/215</f>
        <v>19.534883720930232</v>
      </c>
      <c r="I361" s="300"/>
      <c r="J361" s="286">
        <v>24</v>
      </c>
      <c r="K361" s="286"/>
      <c r="L361" s="300">
        <v>26</v>
      </c>
      <c r="M361" s="401"/>
      <c r="N361" s="292">
        <v>26</v>
      </c>
      <c r="O361" s="286"/>
      <c r="P361" s="292">
        <v>26</v>
      </c>
      <c r="Q361" s="300">
        <v>26</v>
      </c>
      <c r="R361" s="300"/>
      <c r="S361" s="286">
        <v>26</v>
      </c>
      <c r="T361" s="286">
        <v>24</v>
      </c>
      <c r="U361" s="286"/>
      <c r="V361" s="313"/>
      <c r="W361" s="286"/>
      <c r="X361" s="300"/>
      <c r="Y361" s="286"/>
      <c r="Z361" s="300">
        <v>26</v>
      </c>
      <c r="AA361" s="286"/>
      <c r="AB361" s="300">
        <v>26</v>
      </c>
      <c r="AC361" s="286">
        <v>26</v>
      </c>
      <c r="AD361" s="286"/>
      <c r="AE361" s="286"/>
      <c r="AF361" s="300"/>
      <c r="AG361" s="286"/>
      <c r="AH361" s="286"/>
      <c r="AI361" s="286">
        <v>24</v>
      </c>
      <c r="AJ361" s="300"/>
      <c r="AK361" s="295">
        <v>26</v>
      </c>
      <c r="AL361" s="286">
        <v>24</v>
      </c>
      <c r="AM361" s="299">
        <v>26</v>
      </c>
      <c r="AN361" s="287"/>
      <c r="AO361" s="286">
        <v>24</v>
      </c>
      <c r="AP361" s="286">
        <v>24</v>
      </c>
      <c r="AQ361" s="322"/>
      <c r="AR361" s="286">
        <v>24</v>
      </c>
      <c r="AS361" s="286">
        <v>24</v>
      </c>
      <c r="AT361" s="286">
        <v>24</v>
      </c>
      <c r="AU361" s="286">
        <v>24</v>
      </c>
      <c r="AV361" s="286"/>
      <c r="AW361" s="286"/>
      <c r="AX361" s="286"/>
      <c r="AY361" s="286"/>
      <c r="AZ361" s="286">
        <v>24</v>
      </c>
      <c r="BA361" s="286"/>
      <c r="BB361" s="286"/>
      <c r="BC361" s="286"/>
      <c r="BD361" s="287"/>
      <c r="BE361" s="287"/>
      <c r="BF361" s="287">
        <v>26</v>
      </c>
      <c r="BG361" s="288">
        <v>26</v>
      </c>
      <c r="BH361" s="286"/>
      <c r="BI361" s="287"/>
      <c r="BJ361" s="287"/>
      <c r="BK361" s="287"/>
      <c r="BL361" s="287"/>
      <c r="BM361" s="287"/>
      <c r="BN361" s="287"/>
      <c r="BO361" s="287"/>
      <c r="BP361" s="287"/>
      <c r="BQ361" s="287"/>
      <c r="BR361" s="287"/>
      <c r="BS361" s="287"/>
      <c r="BT361" s="287"/>
      <c r="BU361" s="287">
        <v>26</v>
      </c>
      <c r="BV361" s="287"/>
      <c r="BW361" s="287"/>
      <c r="BX361" s="300">
        <f>J361</f>
        <v>24</v>
      </c>
      <c r="BY361" s="289">
        <v>26</v>
      </c>
      <c r="BZ361" s="289"/>
      <c r="CA361" s="289"/>
      <c r="CB361" s="289"/>
      <c r="CC361" s="289"/>
      <c r="CD361" s="289"/>
      <c r="CE361" s="289"/>
      <c r="CF361" s="289"/>
      <c r="CG361" s="305"/>
      <c r="CH361" s="287"/>
      <c r="CI361" s="287"/>
      <c r="CJ361" s="287"/>
      <c r="CK361" s="287"/>
      <c r="CL361" s="287"/>
      <c r="CM361" s="286"/>
      <c r="CN361" s="286"/>
      <c r="CO361" s="292"/>
      <c r="CP361" s="287"/>
      <c r="CQ361" s="287">
        <v>26</v>
      </c>
      <c r="CR361" s="287">
        <v>26</v>
      </c>
      <c r="CS361" s="296">
        <v>26</v>
      </c>
      <c r="CT361" s="6"/>
      <c r="CU361" s="6"/>
      <c r="CV361" s="6"/>
      <c r="CW361" s="6"/>
      <c r="CX361" s="6"/>
      <c r="CY361" s="6"/>
      <c r="CZ361" s="6"/>
      <c r="DA361" s="343">
        <f t="shared" si="14"/>
        <v>19.534883720930232</v>
      </c>
    </row>
    <row r="362" spans="1:105" ht="20" customHeight="1" x14ac:dyDescent="0.35">
      <c r="A362" s="290"/>
      <c r="B362" s="270" t="s">
        <v>931</v>
      </c>
      <c r="C362" s="270" t="s">
        <v>1539</v>
      </c>
      <c r="D362" s="297" t="s">
        <v>632</v>
      </c>
      <c r="E362" s="270" t="s">
        <v>1459</v>
      </c>
      <c r="F362" s="270" t="s">
        <v>2004</v>
      </c>
      <c r="G362" s="270" t="s">
        <v>36</v>
      </c>
      <c r="H362" s="298">
        <v>18</v>
      </c>
      <c r="I362" s="292">
        <v>22</v>
      </c>
      <c r="J362" s="286"/>
      <c r="K362" s="286"/>
      <c r="L362" s="286"/>
      <c r="M362" s="286"/>
      <c r="N362" s="286"/>
      <c r="O362" s="286"/>
      <c r="P362" s="286"/>
      <c r="Q362" s="286"/>
      <c r="R362" s="286"/>
      <c r="S362" s="286"/>
      <c r="T362" s="286"/>
      <c r="U362" s="286"/>
      <c r="V362" s="294"/>
      <c r="W362" s="286"/>
      <c r="X362" s="286"/>
      <c r="Y362" s="286"/>
      <c r="Z362" s="286"/>
      <c r="AA362" s="286"/>
      <c r="AB362" s="286"/>
      <c r="AC362" s="286">
        <v>24</v>
      </c>
      <c r="AD362" s="286"/>
      <c r="AE362" s="286"/>
      <c r="AF362" s="286"/>
      <c r="AG362" s="286"/>
      <c r="AH362" s="286"/>
      <c r="AI362" s="286"/>
      <c r="AJ362" s="286"/>
      <c r="AK362" s="287"/>
      <c r="AL362" s="286"/>
      <c r="AM362" s="287"/>
      <c r="AN362" s="287"/>
      <c r="AO362" s="286"/>
      <c r="AP362" s="286"/>
      <c r="AQ362" s="296"/>
      <c r="AR362" s="286"/>
      <c r="AS362" s="286"/>
      <c r="AT362" s="286"/>
      <c r="AU362" s="286"/>
      <c r="AV362" s="286"/>
      <c r="AW362" s="286"/>
      <c r="AX362" s="286"/>
      <c r="AY362" s="286"/>
      <c r="AZ362" s="286"/>
      <c r="BA362" s="286"/>
      <c r="BB362" s="286"/>
      <c r="BC362" s="286"/>
      <c r="BD362" s="287"/>
      <c r="BE362" s="287"/>
      <c r="BF362" s="287"/>
      <c r="BG362" s="287"/>
      <c r="BH362" s="286"/>
      <c r="BI362" s="287"/>
      <c r="BJ362" s="287"/>
      <c r="BK362" s="287"/>
      <c r="BL362" s="287"/>
      <c r="BM362" s="287"/>
      <c r="BN362" s="287"/>
      <c r="BO362" s="287"/>
      <c r="BP362" s="287"/>
      <c r="BQ362" s="287"/>
      <c r="BR362" s="287"/>
      <c r="BS362" s="287"/>
      <c r="BT362" s="287"/>
      <c r="BU362" s="287"/>
      <c r="BV362" s="287"/>
      <c r="BW362" s="287"/>
      <c r="BX362" s="286"/>
      <c r="BY362" s="289"/>
      <c r="BZ362" s="289"/>
      <c r="CA362" s="289"/>
      <c r="CB362" s="289"/>
      <c r="CC362" s="289"/>
      <c r="CD362" s="289"/>
      <c r="CE362" s="289"/>
      <c r="CF362" s="289"/>
      <c r="CG362" s="287"/>
      <c r="CH362" s="287"/>
      <c r="CI362" s="287"/>
      <c r="CJ362" s="287"/>
      <c r="CK362" s="287"/>
      <c r="CL362" s="287"/>
      <c r="CM362" s="286"/>
      <c r="CN362" s="286"/>
      <c r="CO362" s="286"/>
      <c r="CP362" s="287"/>
      <c r="CQ362" s="287">
        <v>22</v>
      </c>
      <c r="CR362" s="287"/>
      <c r="CS362" s="296">
        <v>23</v>
      </c>
      <c r="CT362" s="6"/>
      <c r="CU362" s="6"/>
      <c r="CV362" s="6"/>
      <c r="CW362" s="6"/>
      <c r="CX362" s="6"/>
      <c r="CY362" s="6"/>
      <c r="CZ362" s="6"/>
      <c r="DA362" s="343">
        <f t="shared" si="14"/>
        <v>18</v>
      </c>
    </row>
    <row r="363" spans="1:105" ht="20" customHeight="1" x14ac:dyDescent="0.35">
      <c r="A363" s="290" t="s">
        <v>1717</v>
      </c>
      <c r="B363" s="270" t="s">
        <v>932</v>
      </c>
      <c r="C363" s="270" t="s">
        <v>1540</v>
      </c>
      <c r="D363" s="297" t="s">
        <v>630</v>
      </c>
      <c r="E363" s="270" t="s">
        <v>511</v>
      </c>
      <c r="F363" s="270" t="s">
        <v>2026</v>
      </c>
      <c r="G363" s="270" t="s">
        <v>36</v>
      </c>
      <c r="H363" s="298">
        <v>33</v>
      </c>
      <c r="I363" s="300">
        <v>43</v>
      </c>
      <c r="J363" s="286"/>
      <c r="K363" s="286"/>
      <c r="L363" s="286"/>
      <c r="M363" s="286"/>
      <c r="N363" s="286"/>
      <c r="O363" s="286"/>
      <c r="P363" s="300"/>
      <c r="Q363" s="300"/>
      <c r="R363" s="292">
        <v>45</v>
      </c>
      <c r="S363" s="300"/>
      <c r="T363" s="286"/>
      <c r="U363" s="286"/>
      <c r="V363" s="313"/>
      <c r="W363" s="286"/>
      <c r="X363" s="286"/>
      <c r="Y363" s="286"/>
      <c r="Z363" s="286"/>
      <c r="AA363" s="286"/>
      <c r="AB363" s="286"/>
      <c r="AC363" s="300"/>
      <c r="AD363" s="286"/>
      <c r="AE363" s="286"/>
      <c r="AF363" s="286"/>
      <c r="AG363" s="286"/>
      <c r="AH363" s="286"/>
      <c r="AI363" s="286"/>
      <c r="AJ363" s="286"/>
      <c r="AK363" s="287"/>
      <c r="AL363" s="288"/>
      <c r="AM363" s="287"/>
      <c r="AN363" s="287"/>
      <c r="AO363" s="287"/>
      <c r="AP363" s="286"/>
      <c r="AQ363" s="296"/>
      <c r="AR363" s="286"/>
      <c r="AS363" s="286"/>
      <c r="AT363" s="286"/>
      <c r="AU363" s="286"/>
      <c r="AV363" s="286"/>
      <c r="AW363" s="286"/>
      <c r="AX363" s="286"/>
      <c r="AY363" s="286"/>
      <c r="AZ363" s="286"/>
      <c r="BA363" s="286"/>
      <c r="BB363" s="286"/>
      <c r="BC363" s="286"/>
      <c r="BD363" s="287"/>
      <c r="BE363" s="287"/>
      <c r="BF363" s="287"/>
      <c r="BG363" s="288">
        <v>40</v>
      </c>
      <c r="BH363" s="287"/>
      <c r="BI363" s="287"/>
      <c r="BJ363" s="287"/>
      <c r="BK363" s="287"/>
      <c r="BL363" s="287"/>
      <c r="BM363" s="287"/>
      <c r="BN363" s="287"/>
      <c r="BO363" s="287"/>
      <c r="BP363" s="287"/>
      <c r="BQ363" s="287"/>
      <c r="BR363" s="287"/>
      <c r="BS363" s="287"/>
      <c r="BT363" s="287"/>
      <c r="BU363" s="287"/>
      <c r="BV363" s="287"/>
      <c r="BW363" s="287"/>
      <c r="BX363" s="286"/>
      <c r="BY363" s="289"/>
      <c r="BZ363" s="289"/>
      <c r="CA363" s="289"/>
      <c r="CB363" s="289"/>
      <c r="CC363" s="289"/>
      <c r="CD363" s="289"/>
      <c r="CE363" s="289"/>
      <c r="CF363" s="289"/>
      <c r="CG363" s="287"/>
      <c r="CH363" s="287"/>
      <c r="CI363" s="287"/>
      <c r="CJ363" s="287"/>
      <c r="CK363" s="287"/>
      <c r="CL363" s="287"/>
      <c r="CM363" s="287"/>
      <c r="CN363" s="287"/>
      <c r="CO363" s="287"/>
      <c r="CP363" s="287"/>
      <c r="CQ363" s="287"/>
      <c r="CR363" s="287">
        <v>45</v>
      </c>
      <c r="CS363" s="6"/>
      <c r="CT363" s="6"/>
      <c r="CU363" s="6"/>
      <c r="CV363" s="6"/>
      <c r="CW363" s="6"/>
      <c r="CX363" s="6"/>
      <c r="CY363" s="6"/>
      <c r="CZ363" s="6"/>
      <c r="DA363" s="343">
        <f t="shared" si="14"/>
        <v>33</v>
      </c>
    </row>
    <row r="364" spans="1:105" ht="20" customHeight="1" x14ac:dyDescent="0.35">
      <c r="A364" s="290"/>
      <c r="B364" s="270" t="s">
        <v>933</v>
      </c>
      <c r="C364" s="270" t="s">
        <v>1540</v>
      </c>
      <c r="D364" s="297" t="s">
        <v>630</v>
      </c>
      <c r="E364" s="270" t="s">
        <v>511</v>
      </c>
      <c r="F364" s="270" t="s">
        <v>1851</v>
      </c>
      <c r="G364" s="270" t="s">
        <v>36</v>
      </c>
      <c r="H364" s="298">
        <f>H363/2</f>
        <v>16.5</v>
      </c>
      <c r="I364" s="292"/>
      <c r="J364" s="286"/>
      <c r="K364" s="286"/>
      <c r="L364" s="286">
        <v>0</v>
      </c>
      <c r="M364" s="286"/>
      <c r="N364" s="286"/>
      <c r="O364" s="286"/>
      <c r="P364" s="300"/>
      <c r="Q364" s="300"/>
      <c r="R364" s="300"/>
      <c r="S364" s="300"/>
      <c r="T364" s="286"/>
      <c r="U364" s="286"/>
      <c r="V364" s="313"/>
      <c r="W364" s="286"/>
      <c r="X364" s="286"/>
      <c r="Y364" s="286"/>
      <c r="Z364" s="286"/>
      <c r="AA364" s="286"/>
      <c r="AB364" s="286"/>
      <c r="AC364" s="300"/>
      <c r="AD364" s="286"/>
      <c r="AE364" s="286"/>
      <c r="AF364" s="286"/>
      <c r="AG364" s="286"/>
      <c r="AH364" s="286"/>
      <c r="AI364" s="286"/>
      <c r="AJ364" s="286"/>
      <c r="AK364" s="295"/>
      <c r="AL364" s="288"/>
      <c r="AM364" s="287"/>
      <c r="AN364" s="287"/>
      <c r="AO364" s="287"/>
      <c r="AP364" s="286"/>
      <c r="AQ364" s="296"/>
      <c r="AR364" s="286"/>
      <c r="AS364" s="286"/>
      <c r="AT364" s="286"/>
      <c r="AU364" s="286"/>
      <c r="AV364" s="286"/>
      <c r="AW364" s="286"/>
      <c r="AX364" s="286"/>
      <c r="AY364" s="286"/>
      <c r="AZ364" s="286"/>
      <c r="BA364" s="286"/>
      <c r="BB364" s="286"/>
      <c r="BC364" s="286"/>
      <c r="BD364" s="287"/>
      <c r="BE364" s="287"/>
      <c r="BF364" s="287"/>
      <c r="BG364" s="287"/>
      <c r="BH364" s="287"/>
      <c r="BI364" s="287"/>
      <c r="BJ364" s="287"/>
      <c r="BK364" s="287"/>
      <c r="BL364" s="287"/>
      <c r="BM364" s="287"/>
      <c r="BN364" s="287"/>
      <c r="BO364" s="287"/>
      <c r="BP364" s="287"/>
      <c r="BQ364" s="287"/>
      <c r="BR364" s="287"/>
      <c r="BS364" s="287"/>
      <c r="BT364" s="287"/>
      <c r="BU364" s="287"/>
      <c r="BV364" s="287"/>
      <c r="BW364" s="287"/>
      <c r="BX364" s="286"/>
      <c r="BY364" s="289"/>
      <c r="BZ364" s="289"/>
      <c r="CA364" s="289"/>
      <c r="CB364" s="289"/>
      <c r="CC364" s="289"/>
      <c r="CD364" s="289"/>
      <c r="CE364" s="289"/>
      <c r="CF364" s="289"/>
      <c r="CG364" s="287"/>
      <c r="CH364" s="287"/>
      <c r="CI364" s="287"/>
      <c r="CJ364" s="287"/>
      <c r="CK364" s="287"/>
      <c r="CL364" s="287"/>
      <c r="CM364" s="287"/>
      <c r="CN364" s="287"/>
      <c r="CO364" s="287"/>
      <c r="CP364" s="287"/>
      <c r="CQ364" s="287">
        <v>22</v>
      </c>
      <c r="CR364" s="287"/>
      <c r="CS364" s="296">
        <v>21</v>
      </c>
      <c r="CT364" s="6"/>
      <c r="CU364" s="6"/>
      <c r="CV364" s="6"/>
      <c r="CW364" s="6"/>
      <c r="CX364" s="6"/>
      <c r="CY364" s="6"/>
      <c r="CZ364" s="6"/>
      <c r="DA364" s="343">
        <f t="shared" si="14"/>
        <v>16.5</v>
      </c>
    </row>
    <row r="365" spans="1:105" ht="20" customHeight="1" x14ac:dyDescent="0.35">
      <c r="A365" s="290" t="s">
        <v>2091</v>
      </c>
      <c r="B365" s="270" t="s">
        <v>933</v>
      </c>
      <c r="C365" s="270" t="s">
        <v>1540</v>
      </c>
      <c r="D365" s="297" t="s">
        <v>630</v>
      </c>
      <c r="E365" s="270" t="s">
        <v>511</v>
      </c>
      <c r="F365" s="270" t="s">
        <v>1851</v>
      </c>
      <c r="G365" s="270" t="s">
        <v>36</v>
      </c>
      <c r="H365" s="298">
        <f>H364/2</f>
        <v>8.25</v>
      </c>
      <c r="I365" s="292"/>
      <c r="J365" s="286"/>
      <c r="K365" s="286"/>
      <c r="L365" s="286">
        <v>0</v>
      </c>
      <c r="M365" s="286"/>
      <c r="N365" s="286"/>
      <c r="O365" s="286"/>
      <c r="P365" s="300"/>
      <c r="Q365" s="300"/>
      <c r="R365" s="300"/>
      <c r="S365" s="300"/>
      <c r="T365" s="286"/>
      <c r="U365" s="286"/>
      <c r="V365" s="313"/>
      <c r="W365" s="286"/>
      <c r="X365" s="286"/>
      <c r="Y365" s="286"/>
      <c r="Z365" s="286"/>
      <c r="AA365" s="286"/>
      <c r="AB365" s="286"/>
      <c r="AC365" s="300"/>
      <c r="AD365" s="286"/>
      <c r="AE365" s="286"/>
      <c r="AF365" s="286"/>
      <c r="AG365" s="286"/>
      <c r="AH365" s="286"/>
      <c r="AI365" s="286"/>
      <c r="AJ365" s="286"/>
      <c r="AK365" s="295"/>
      <c r="AL365" s="288"/>
      <c r="AM365" s="287"/>
      <c r="AN365" s="287"/>
      <c r="AO365" s="287"/>
      <c r="AP365" s="286"/>
      <c r="AQ365" s="296"/>
      <c r="AR365" s="286"/>
      <c r="AS365" s="286"/>
      <c r="AT365" s="286"/>
      <c r="AU365" s="286"/>
      <c r="AV365" s="286"/>
      <c r="AW365" s="286"/>
      <c r="AX365" s="286"/>
      <c r="AY365" s="286"/>
      <c r="AZ365" s="286"/>
      <c r="BA365" s="286"/>
      <c r="BB365" s="286"/>
      <c r="BC365" s="286"/>
      <c r="BD365" s="287"/>
      <c r="BE365" s="287"/>
      <c r="BF365" s="287"/>
      <c r="BG365" s="287"/>
      <c r="BH365" s="287"/>
      <c r="BI365" s="287"/>
      <c r="BJ365" s="287"/>
      <c r="BK365" s="287"/>
      <c r="BL365" s="287"/>
      <c r="BM365" s="287"/>
      <c r="BN365" s="287"/>
      <c r="BO365" s="287"/>
      <c r="BP365" s="287"/>
      <c r="BQ365" s="287"/>
      <c r="BR365" s="287"/>
      <c r="BS365" s="287"/>
      <c r="BT365" s="287"/>
      <c r="BU365" s="287"/>
      <c r="BV365" s="287"/>
      <c r="BW365" s="287"/>
      <c r="BX365" s="286"/>
      <c r="BY365" s="289"/>
      <c r="BZ365" s="289"/>
      <c r="CA365" s="289"/>
      <c r="CB365" s="289"/>
      <c r="CC365" s="289"/>
      <c r="CD365" s="289"/>
      <c r="CE365" s="289"/>
      <c r="CF365" s="289"/>
      <c r="CG365" s="287"/>
      <c r="CH365" s="287"/>
      <c r="CI365" s="287"/>
      <c r="CJ365" s="287"/>
      <c r="CK365" s="287"/>
      <c r="CL365" s="287"/>
      <c r="CM365" s="287"/>
      <c r="CN365" s="287"/>
      <c r="CO365" s="287"/>
      <c r="CP365" s="287"/>
      <c r="CQ365" s="287">
        <v>22</v>
      </c>
      <c r="CR365" s="287"/>
      <c r="CS365" s="296">
        <v>21</v>
      </c>
      <c r="CT365" s="6"/>
      <c r="CU365" s="6"/>
      <c r="CV365" s="6"/>
      <c r="CW365" s="6"/>
      <c r="CX365" s="6"/>
      <c r="CY365" s="6"/>
      <c r="CZ365" s="6"/>
      <c r="DA365" s="343">
        <f t="shared" ref="DA365" si="16">H365</f>
        <v>8.25</v>
      </c>
    </row>
    <row r="366" spans="1:105" ht="20" customHeight="1" x14ac:dyDescent="0.35">
      <c r="A366" s="290"/>
      <c r="B366" s="270" t="s">
        <v>934</v>
      </c>
      <c r="C366" s="270" t="s">
        <v>1540</v>
      </c>
      <c r="D366" s="297" t="s">
        <v>630</v>
      </c>
      <c r="E366" s="270" t="s">
        <v>511</v>
      </c>
      <c r="F366" s="270" t="s">
        <v>935</v>
      </c>
      <c r="G366" s="270" t="s">
        <v>42</v>
      </c>
      <c r="H366" s="298">
        <f>H363/24</f>
        <v>1.375</v>
      </c>
      <c r="I366" s="292"/>
      <c r="J366" s="286"/>
      <c r="K366" s="286"/>
      <c r="L366" s="286"/>
      <c r="M366" s="286"/>
      <c r="N366" s="286"/>
      <c r="O366" s="286"/>
      <c r="P366" s="300"/>
      <c r="Q366" s="300"/>
      <c r="R366" s="300"/>
      <c r="S366" s="300"/>
      <c r="T366" s="286"/>
      <c r="U366" s="286"/>
      <c r="V366" s="313"/>
      <c r="W366" s="286"/>
      <c r="X366" s="286"/>
      <c r="Y366" s="286"/>
      <c r="Z366" s="286"/>
      <c r="AA366" s="286"/>
      <c r="AB366" s="286"/>
      <c r="AC366" s="300"/>
      <c r="AD366" s="286"/>
      <c r="AE366" s="286"/>
      <c r="AF366" s="286"/>
      <c r="AG366" s="286"/>
      <c r="AH366" s="286"/>
      <c r="AI366" s="286"/>
      <c r="AJ366" s="286"/>
      <c r="AK366" s="287"/>
      <c r="AL366" s="288"/>
      <c r="AM366" s="287"/>
      <c r="AN366" s="287"/>
      <c r="AO366" s="287"/>
      <c r="AP366" s="286"/>
      <c r="AQ366" s="296"/>
      <c r="AR366" s="286"/>
      <c r="AS366" s="286"/>
      <c r="AT366" s="286"/>
      <c r="AU366" s="286"/>
      <c r="AV366" s="286"/>
      <c r="AW366" s="286"/>
      <c r="AX366" s="286"/>
      <c r="AY366" s="286"/>
      <c r="AZ366" s="286"/>
      <c r="BA366" s="286"/>
      <c r="BB366" s="286"/>
      <c r="BC366" s="286"/>
      <c r="BD366" s="287"/>
      <c r="BE366" s="287"/>
      <c r="BF366" s="287"/>
      <c r="BG366" s="287"/>
      <c r="BH366" s="287"/>
      <c r="BI366" s="287"/>
      <c r="BJ366" s="287"/>
      <c r="BK366" s="287"/>
      <c r="BL366" s="287"/>
      <c r="BM366" s="287"/>
      <c r="BN366" s="287"/>
      <c r="BO366" s="287"/>
      <c r="BP366" s="287"/>
      <c r="BQ366" s="287"/>
      <c r="BR366" s="287"/>
      <c r="BS366" s="287"/>
      <c r="BT366" s="287"/>
      <c r="BU366" s="287"/>
      <c r="BV366" s="287"/>
      <c r="BW366" s="287"/>
      <c r="BX366" s="286"/>
      <c r="BY366" s="289"/>
      <c r="BZ366" s="289"/>
      <c r="CA366" s="289"/>
      <c r="CB366" s="289"/>
      <c r="CC366" s="289"/>
      <c r="CD366" s="289"/>
      <c r="CE366" s="289"/>
      <c r="CF366" s="289"/>
      <c r="CG366" s="287"/>
      <c r="CH366" s="287"/>
      <c r="CI366" s="287"/>
      <c r="CJ366" s="287"/>
      <c r="CK366" s="287"/>
      <c r="CL366" s="287"/>
      <c r="CM366" s="287"/>
      <c r="CN366" s="287"/>
      <c r="CO366" s="287"/>
      <c r="CP366" s="287"/>
      <c r="CQ366" s="287"/>
      <c r="CR366" s="287"/>
      <c r="CS366" s="6"/>
      <c r="CT366" s="6"/>
      <c r="CU366" s="6"/>
      <c r="CV366" s="6"/>
      <c r="CW366" s="6"/>
      <c r="CX366" s="6"/>
      <c r="CY366" s="6"/>
      <c r="CZ366" s="6"/>
      <c r="DA366" s="343">
        <f t="shared" si="14"/>
        <v>1.375</v>
      </c>
    </row>
    <row r="367" spans="1:105" ht="20" customHeight="1" x14ac:dyDescent="0.35">
      <c r="A367" s="290">
        <v>520728</v>
      </c>
      <c r="B367" s="270" t="s">
        <v>936</v>
      </c>
      <c r="C367" s="270" t="s">
        <v>1540</v>
      </c>
      <c r="D367" s="297" t="s">
        <v>632</v>
      </c>
      <c r="E367" s="270" t="s">
        <v>367</v>
      </c>
      <c r="F367" s="270" t="s">
        <v>430</v>
      </c>
      <c r="G367" s="270" t="s">
        <v>36</v>
      </c>
      <c r="H367" s="298">
        <v>20</v>
      </c>
      <c r="I367" s="300">
        <v>26.5</v>
      </c>
      <c r="J367" s="286"/>
      <c r="K367" s="286"/>
      <c r="L367" s="286"/>
      <c r="M367" s="286"/>
      <c r="N367" s="286"/>
      <c r="O367" s="286"/>
      <c r="P367" s="292">
        <v>25</v>
      </c>
      <c r="Q367" s="286">
        <v>25</v>
      </c>
      <c r="R367" s="286">
        <v>25</v>
      </c>
      <c r="S367" s="286">
        <v>26</v>
      </c>
      <c r="T367" s="286"/>
      <c r="U367" s="286"/>
      <c r="V367" s="294"/>
      <c r="W367" s="286"/>
      <c r="X367" s="286"/>
      <c r="Y367" s="286">
        <v>26</v>
      </c>
      <c r="Z367" s="286"/>
      <c r="AA367" s="286"/>
      <c r="AB367" s="286"/>
      <c r="AC367" s="286">
        <v>25</v>
      </c>
      <c r="AD367" s="286"/>
      <c r="AE367" s="286"/>
      <c r="AF367" s="286"/>
      <c r="AG367" s="286"/>
      <c r="AH367" s="286"/>
      <c r="AI367" s="286"/>
      <c r="AJ367" s="286"/>
      <c r="AK367" s="295">
        <v>25</v>
      </c>
      <c r="AL367" s="288"/>
      <c r="AM367" s="287">
        <v>25</v>
      </c>
      <c r="AN367" s="287"/>
      <c r="AO367" s="287"/>
      <c r="AP367" s="286"/>
      <c r="AQ367" s="296"/>
      <c r="AR367" s="286"/>
      <c r="AS367" s="286"/>
      <c r="AT367" s="286"/>
      <c r="AU367" s="286"/>
      <c r="AV367" s="286"/>
      <c r="AW367" s="286"/>
      <c r="AX367" s="286"/>
      <c r="AY367" s="286"/>
      <c r="AZ367" s="286"/>
      <c r="BA367" s="286"/>
      <c r="BB367" s="286"/>
      <c r="BC367" s="286"/>
      <c r="BD367" s="287"/>
      <c r="BE367" s="287"/>
      <c r="BF367" s="287"/>
      <c r="BG367" s="288">
        <v>25</v>
      </c>
      <c r="BH367" s="287"/>
      <c r="BI367" s="287"/>
      <c r="BJ367" s="287"/>
      <c r="BK367" s="287"/>
      <c r="BL367" s="287"/>
      <c r="BM367" s="287"/>
      <c r="BN367" s="287"/>
      <c r="BO367" s="287"/>
      <c r="BP367" s="287"/>
      <c r="BQ367" s="287"/>
      <c r="BR367" s="287"/>
      <c r="BS367" s="287"/>
      <c r="BT367" s="287"/>
      <c r="BU367" s="287"/>
      <c r="BV367" s="287"/>
      <c r="BW367" s="287"/>
      <c r="BX367" s="286"/>
      <c r="BY367" s="289"/>
      <c r="BZ367" s="289">
        <v>25</v>
      </c>
      <c r="CA367" s="289"/>
      <c r="CB367" s="289"/>
      <c r="CC367" s="289"/>
      <c r="CD367" s="289"/>
      <c r="CE367" s="289"/>
      <c r="CF367" s="289"/>
      <c r="CG367" s="287"/>
      <c r="CH367" s="287"/>
      <c r="CI367" s="287"/>
      <c r="CJ367" s="287"/>
      <c r="CK367" s="287"/>
      <c r="CL367" s="287"/>
      <c r="CM367" s="287"/>
      <c r="CN367" s="287"/>
      <c r="CO367" s="287"/>
      <c r="CP367" s="287"/>
      <c r="CQ367" s="287">
        <v>26</v>
      </c>
      <c r="CR367" s="287">
        <v>26</v>
      </c>
      <c r="CS367" s="296">
        <v>25</v>
      </c>
      <c r="CT367" s="6"/>
      <c r="CU367" s="6"/>
      <c r="CV367" s="6"/>
      <c r="CW367" s="6"/>
      <c r="CX367" s="6"/>
      <c r="CY367" s="6"/>
      <c r="CZ367" s="6"/>
      <c r="DA367" s="343">
        <f>H367</f>
        <v>20</v>
      </c>
    </row>
    <row r="368" spans="1:105" ht="20" customHeight="1" x14ac:dyDescent="0.35">
      <c r="A368" s="290" t="s">
        <v>2149</v>
      </c>
      <c r="B368" s="270" t="s">
        <v>936</v>
      </c>
      <c r="C368" s="270" t="s">
        <v>1540</v>
      </c>
      <c r="D368" s="297" t="s">
        <v>632</v>
      </c>
      <c r="E368" s="270" t="s">
        <v>367</v>
      </c>
      <c r="F368" s="270" t="s">
        <v>430</v>
      </c>
      <c r="G368" s="270" t="s">
        <v>36</v>
      </c>
      <c r="H368" s="298">
        <v>20</v>
      </c>
      <c r="I368" s="292"/>
      <c r="J368" s="286"/>
      <c r="K368" s="286"/>
      <c r="L368" s="286"/>
      <c r="M368" s="286"/>
      <c r="N368" s="286"/>
      <c r="O368" s="286"/>
      <c r="P368" s="292"/>
      <c r="Q368" s="286"/>
      <c r="R368" s="286"/>
      <c r="S368" s="286"/>
      <c r="T368" s="286"/>
      <c r="U368" s="286"/>
      <c r="V368" s="294"/>
      <c r="W368" s="286"/>
      <c r="X368" s="286"/>
      <c r="Y368" s="286"/>
      <c r="Z368" s="286"/>
      <c r="AA368" s="286"/>
      <c r="AB368" s="286"/>
      <c r="AC368" s="286"/>
      <c r="AD368" s="286"/>
      <c r="AE368" s="286"/>
      <c r="AF368" s="286"/>
      <c r="AG368" s="286"/>
      <c r="AH368" s="286"/>
      <c r="AI368" s="286"/>
      <c r="AJ368" s="286"/>
      <c r="AK368" s="295"/>
      <c r="AL368" s="288"/>
      <c r="AM368" s="287"/>
      <c r="AN368" s="287"/>
      <c r="AO368" s="287"/>
      <c r="AP368" s="286"/>
      <c r="AQ368" s="296"/>
      <c r="AR368" s="286"/>
      <c r="AS368" s="286"/>
      <c r="AT368" s="286"/>
      <c r="AU368" s="286"/>
      <c r="AV368" s="286"/>
      <c r="AW368" s="286"/>
      <c r="AX368" s="286"/>
      <c r="AY368" s="286"/>
      <c r="AZ368" s="286"/>
      <c r="BA368" s="286"/>
      <c r="BB368" s="286"/>
      <c r="BC368" s="286"/>
      <c r="BD368" s="287"/>
      <c r="BE368" s="287"/>
      <c r="BF368" s="287"/>
      <c r="BG368" s="288"/>
      <c r="BH368" s="287"/>
      <c r="BI368" s="287"/>
      <c r="BJ368" s="287"/>
      <c r="BK368" s="287"/>
      <c r="BL368" s="287"/>
      <c r="BM368" s="287"/>
      <c r="BN368" s="287"/>
      <c r="BO368" s="287"/>
      <c r="BP368" s="287"/>
      <c r="BQ368" s="287"/>
      <c r="BR368" s="287"/>
      <c r="BS368" s="287"/>
      <c r="BT368" s="287"/>
      <c r="BU368" s="287"/>
      <c r="BV368" s="287"/>
      <c r="BW368" s="287"/>
      <c r="BX368" s="286"/>
      <c r="BY368" s="289"/>
      <c r="BZ368" s="289"/>
      <c r="CA368" s="289"/>
      <c r="CB368" s="289"/>
      <c r="CC368" s="289"/>
      <c r="CD368" s="289"/>
      <c r="CE368" s="289"/>
      <c r="CF368" s="289"/>
      <c r="CG368" s="287"/>
      <c r="CH368" s="287"/>
      <c r="CI368" s="287"/>
      <c r="CJ368" s="287"/>
      <c r="CK368" s="287"/>
      <c r="CL368" s="287"/>
      <c r="CM368" s="287"/>
      <c r="CN368" s="287"/>
      <c r="CO368" s="287"/>
      <c r="CP368" s="287"/>
      <c r="CQ368" s="287">
        <v>26</v>
      </c>
      <c r="CR368" s="287"/>
      <c r="CS368" s="296">
        <v>25</v>
      </c>
      <c r="CT368" s="6"/>
      <c r="CU368" s="6"/>
      <c r="CV368" s="6"/>
      <c r="CW368" s="6"/>
      <c r="CX368" s="6"/>
      <c r="CY368" s="6"/>
      <c r="CZ368" s="6"/>
      <c r="DA368" s="343">
        <f>H368</f>
        <v>20</v>
      </c>
    </row>
    <row r="369" spans="1:105" ht="20" customHeight="1" x14ac:dyDescent="0.35">
      <c r="A369" s="290"/>
      <c r="B369" s="270" t="s">
        <v>937</v>
      </c>
      <c r="C369" s="270" t="s">
        <v>1540</v>
      </c>
      <c r="D369" s="297" t="s">
        <v>630</v>
      </c>
      <c r="E369" s="270" t="s">
        <v>43</v>
      </c>
      <c r="F369" s="270" t="s">
        <v>1286</v>
      </c>
      <c r="G369" s="270" t="s">
        <v>36</v>
      </c>
      <c r="H369" s="298">
        <v>16.5</v>
      </c>
      <c r="I369" s="292"/>
      <c r="J369" s="292">
        <v>22</v>
      </c>
      <c r="K369" s="286"/>
      <c r="L369" s="286"/>
      <c r="M369" s="286"/>
      <c r="N369" s="286"/>
      <c r="O369" s="286"/>
      <c r="P369" s="286">
        <v>0</v>
      </c>
      <c r="Q369" s="286"/>
      <c r="R369" s="286"/>
      <c r="S369" s="286"/>
      <c r="T369" s="286">
        <v>22</v>
      </c>
      <c r="U369" s="286"/>
      <c r="V369" s="294"/>
      <c r="W369" s="286"/>
      <c r="X369" s="286"/>
      <c r="Y369" s="286"/>
      <c r="Z369" s="286"/>
      <c r="AA369" s="286"/>
      <c r="AB369" s="286"/>
      <c r="AC369" s="286"/>
      <c r="AD369" s="286"/>
      <c r="AE369" s="286"/>
      <c r="AF369" s="286"/>
      <c r="AG369" s="286"/>
      <c r="AH369" s="286"/>
      <c r="AI369" s="286">
        <v>22</v>
      </c>
      <c r="AJ369" s="286"/>
      <c r="AK369" s="287"/>
      <c r="AL369" s="288"/>
      <c r="AM369" s="287">
        <v>22</v>
      </c>
      <c r="AN369" s="287"/>
      <c r="AO369" s="287">
        <v>22</v>
      </c>
      <c r="AP369" s="286"/>
      <c r="AQ369" s="296"/>
      <c r="AR369" s="286">
        <v>22</v>
      </c>
      <c r="AS369" s="286"/>
      <c r="AT369" s="286">
        <v>22</v>
      </c>
      <c r="AU369" s="286"/>
      <c r="AV369" s="286">
        <v>22</v>
      </c>
      <c r="AW369" s="286"/>
      <c r="AX369" s="286"/>
      <c r="AY369" s="286">
        <v>22</v>
      </c>
      <c r="AZ369" s="286">
        <v>22</v>
      </c>
      <c r="BA369" s="286"/>
      <c r="BB369" s="286">
        <f>AZ369</f>
        <v>22</v>
      </c>
      <c r="BC369" s="286">
        <v>22</v>
      </c>
      <c r="BD369" s="287"/>
      <c r="BE369" s="286">
        <v>22</v>
      </c>
      <c r="BF369" s="287"/>
      <c r="BG369" s="287"/>
      <c r="BH369" s="287">
        <v>22</v>
      </c>
      <c r="BI369" s="287"/>
      <c r="BJ369" s="287"/>
      <c r="BK369" s="287"/>
      <c r="BL369" s="287"/>
      <c r="BM369" s="287"/>
      <c r="BN369" s="287"/>
      <c r="BO369" s="287"/>
      <c r="BP369" s="287"/>
      <c r="BQ369" s="287"/>
      <c r="BR369" s="287"/>
      <c r="BS369" s="287"/>
      <c r="BT369" s="287"/>
      <c r="BU369" s="287"/>
      <c r="BV369" s="287"/>
      <c r="BW369" s="287"/>
      <c r="BX369" s="286">
        <v>22</v>
      </c>
      <c r="BY369" s="289"/>
      <c r="BZ369" s="289"/>
      <c r="CA369" s="289"/>
      <c r="CB369" s="289"/>
      <c r="CC369" s="289"/>
      <c r="CD369" s="289"/>
      <c r="CE369" s="289"/>
      <c r="CF369" s="289"/>
      <c r="CG369" s="287"/>
      <c r="CH369" s="287"/>
      <c r="CI369" s="287"/>
      <c r="CJ369" s="287"/>
      <c r="CK369" s="287"/>
      <c r="CL369" s="287"/>
      <c r="CM369" s="292">
        <v>22</v>
      </c>
      <c r="CN369" s="292">
        <v>22</v>
      </c>
      <c r="CO369" s="287"/>
      <c r="CP369" s="287"/>
      <c r="CQ369" s="287"/>
      <c r="CR369" s="287">
        <v>24</v>
      </c>
      <c r="CS369" s="6"/>
      <c r="CT369" s="6"/>
      <c r="CU369" s="6"/>
      <c r="CV369" s="6"/>
      <c r="CW369" s="6"/>
      <c r="CX369" s="6"/>
      <c r="CY369" s="6"/>
      <c r="CZ369" s="6"/>
      <c r="DA369" s="343">
        <f t="shared" si="14"/>
        <v>16.5</v>
      </c>
    </row>
    <row r="370" spans="1:105" ht="20" customHeight="1" x14ac:dyDescent="0.35">
      <c r="A370" s="290"/>
      <c r="B370" s="270" t="s">
        <v>938</v>
      </c>
      <c r="C370" s="270" t="s">
        <v>1539</v>
      </c>
      <c r="D370" s="297" t="s">
        <v>632</v>
      </c>
      <c r="E370" s="132" t="s">
        <v>2125</v>
      </c>
      <c r="F370" s="132" t="s">
        <v>2126</v>
      </c>
      <c r="G370" s="270" t="s">
        <v>36</v>
      </c>
      <c r="H370" s="397">
        <v>17.579999999999998</v>
      </c>
      <c r="I370" s="292"/>
      <c r="J370" s="286"/>
      <c r="K370" s="286"/>
      <c r="L370" s="286"/>
      <c r="M370" s="286"/>
      <c r="N370" s="292">
        <v>24</v>
      </c>
      <c r="O370" s="286"/>
      <c r="P370" s="286"/>
      <c r="Q370" s="286"/>
      <c r="R370" s="286"/>
      <c r="S370" s="286"/>
      <c r="T370" s="286"/>
      <c r="U370" s="286"/>
      <c r="V370" s="294"/>
      <c r="W370" s="286"/>
      <c r="X370" s="286"/>
      <c r="Y370" s="286"/>
      <c r="Z370" s="286"/>
      <c r="AA370" s="286"/>
      <c r="AB370" s="286"/>
      <c r="AC370" s="300">
        <v>24</v>
      </c>
      <c r="AD370" s="286"/>
      <c r="AE370" s="286"/>
      <c r="AF370" s="286"/>
      <c r="AG370" s="286"/>
      <c r="AH370" s="286"/>
      <c r="AI370" s="286"/>
      <c r="AJ370" s="300"/>
      <c r="AK370" s="287"/>
      <c r="AL370" s="288"/>
      <c r="AM370" s="287"/>
      <c r="AN370" s="287"/>
      <c r="AO370" s="287"/>
      <c r="AP370" s="286"/>
      <c r="AQ370" s="296"/>
      <c r="AR370" s="286"/>
      <c r="AS370" s="286"/>
      <c r="AT370" s="286"/>
      <c r="AU370" s="286"/>
      <c r="AV370" s="286"/>
      <c r="AW370" s="286"/>
      <c r="AX370" s="286"/>
      <c r="AY370" s="286"/>
      <c r="AZ370" s="286"/>
      <c r="BA370" s="286"/>
      <c r="BB370" s="286"/>
      <c r="BC370" s="286"/>
      <c r="BD370" s="287"/>
      <c r="BE370" s="287"/>
      <c r="BF370" s="287"/>
      <c r="BG370" s="287"/>
      <c r="BH370" s="287"/>
      <c r="BI370" s="287"/>
      <c r="BJ370" s="287"/>
      <c r="BK370" s="287"/>
      <c r="BL370" s="287"/>
      <c r="BM370" s="287"/>
      <c r="BN370" s="287"/>
      <c r="BO370" s="287"/>
      <c r="BP370" s="287"/>
      <c r="BQ370" s="287"/>
      <c r="BR370" s="287"/>
      <c r="BS370" s="287"/>
      <c r="BT370" s="287"/>
      <c r="BU370" s="287"/>
      <c r="BV370" s="287"/>
      <c r="BW370" s="287"/>
      <c r="BX370" s="286"/>
      <c r="BY370" s="289"/>
      <c r="BZ370" s="289"/>
      <c r="CA370" s="289"/>
      <c r="CB370" s="289"/>
      <c r="CC370" s="289"/>
      <c r="CD370" s="289"/>
      <c r="CE370" s="289"/>
      <c r="CF370" s="289"/>
      <c r="CG370" s="287"/>
      <c r="CH370" s="287"/>
      <c r="CI370" s="287"/>
      <c r="CJ370" s="287"/>
      <c r="CK370" s="287"/>
      <c r="CL370" s="287"/>
      <c r="CM370" s="287"/>
      <c r="CN370" s="287"/>
      <c r="CO370" s="287"/>
      <c r="CP370" s="287"/>
      <c r="CQ370" s="287"/>
      <c r="CR370" s="287"/>
      <c r="CS370" s="6"/>
      <c r="CT370" s="6"/>
      <c r="CU370" s="6"/>
      <c r="CV370" s="6"/>
      <c r="CW370" s="6"/>
      <c r="CX370" s="6"/>
      <c r="CY370" s="6"/>
      <c r="CZ370" s="6"/>
      <c r="DA370" s="343">
        <f t="shared" si="14"/>
        <v>17.579999999999998</v>
      </c>
    </row>
    <row r="371" spans="1:105" ht="20" customHeight="1" x14ac:dyDescent="0.35">
      <c r="A371" s="290">
        <v>520719</v>
      </c>
      <c r="B371" s="270" t="s">
        <v>939</v>
      </c>
      <c r="C371" s="270" t="s">
        <v>1443</v>
      </c>
      <c r="D371" s="297" t="s">
        <v>632</v>
      </c>
      <c r="E371" s="270" t="s">
        <v>43</v>
      </c>
      <c r="F371" s="270" t="s">
        <v>1837</v>
      </c>
      <c r="G371" s="270" t="s">
        <v>36</v>
      </c>
      <c r="H371" s="349">
        <v>33</v>
      </c>
      <c r="I371" s="286">
        <v>37</v>
      </c>
      <c r="J371" s="286"/>
      <c r="K371" s="286"/>
      <c r="L371" s="286">
        <v>38</v>
      </c>
      <c r="M371" s="400"/>
      <c r="N371" s="286"/>
      <c r="O371" s="286"/>
      <c r="P371" s="292">
        <v>38</v>
      </c>
      <c r="Q371" s="286">
        <v>38</v>
      </c>
      <c r="R371" s="286">
        <v>38</v>
      </c>
      <c r="S371" s="300">
        <v>38</v>
      </c>
      <c r="T371" s="286"/>
      <c r="U371" s="286"/>
      <c r="V371" s="294"/>
      <c r="W371" s="286"/>
      <c r="X371" s="286"/>
      <c r="Y371" s="286"/>
      <c r="Z371" s="286"/>
      <c r="AA371" s="286"/>
      <c r="AB371" s="286">
        <v>38</v>
      </c>
      <c r="AC371" s="286">
        <v>38</v>
      </c>
      <c r="AD371" s="286"/>
      <c r="AE371" s="286"/>
      <c r="AF371" s="286"/>
      <c r="AG371" s="286"/>
      <c r="AH371" s="286"/>
      <c r="AI371" s="286"/>
      <c r="AJ371" s="286"/>
      <c r="AK371" s="295">
        <v>38</v>
      </c>
      <c r="AL371" s="288"/>
      <c r="AM371" s="287">
        <v>38</v>
      </c>
      <c r="AN371" s="287"/>
      <c r="AO371" s="287"/>
      <c r="AP371" s="286"/>
      <c r="AQ371" s="296"/>
      <c r="AR371" s="286"/>
      <c r="AS371" s="286"/>
      <c r="AT371" s="286"/>
      <c r="AU371" s="286"/>
      <c r="AV371" s="286"/>
      <c r="AW371" s="286"/>
      <c r="AX371" s="286"/>
      <c r="AY371" s="286"/>
      <c r="AZ371" s="286"/>
      <c r="BA371" s="286"/>
      <c r="BB371" s="286"/>
      <c r="BC371" s="286"/>
      <c r="BD371" s="287"/>
      <c r="BE371" s="287"/>
      <c r="BF371" s="287"/>
      <c r="BG371" s="288">
        <v>38</v>
      </c>
      <c r="BH371" s="287"/>
      <c r="BI371" s="287"/>
      <c r="BJ371" s="287"/>
      <c r="BK371" s="287"/>
      <c r="BL371" s="287"/>
      <c r="BM371" s="287"/>
      <c r="BN371" s="287"/>
      <c r="BO371" s="287"/>
      <c r="BP371" s="287"/>
      <c r="BQ371" s="287"/>
      <c r="BR371" s="287"/>
      <c r="BS371" s="287"/>
      <c r="BT371" s="287"/>
      <c r="BU371" s="287">
        <v>38</v>
      </c>
      <c r="BV371" s="287"/>
      <c r="BW371" s="287"/>
      <c r="BX371" s="286"/>
      <c r="BY371" s="289"/>
      <c r="BZ371" s="289">
        <v>38</v>
      </c>
      <c r="CA371" s="289"/>
      <c r="CB371" s="289"/>
      <c r="CC371" s="289"/>
      <c r="CD371" s="289"/>
      <c r="CE371" s="289"/>
      <c r="CF371" s="289"/>
      <c r="CG371" s="287"/>
      <c r="CH371" s="287"/>
      <c r="CI371" s="287"/>
      <c r="CJ371" s="287"/>
      <c r="CK371" s="287"/>
      <c r="CL371" s="287"/>
      <c r="CM371" s="287"/>
      <c r="CN371" s="287"/>
      <c r="CO371" s="287"/>
      <c r="CP371" s="287"/>
      <c r="CQ371" s="287">
        <v>38</v>
      </c>
      <c r="CR371" s="287"/>
      <c r="CS371" s="296">
        <v>38</v>
      </c>
      <c r="CT371" s="6"/>
      <c r="CU371" s="6"/>
      <c r="CV371" s="6"/>
      <c r="CW371" s="6"/>
      <c r="CX371" s="6"/>
      <c r="CY371" s="6"/>
      <c r="CZ371" s="6"/>
      <c r="DA371" s="343">
        <f t="shared" si="14"/>
        <v>33</v>
      </c>
    </row>
    <row r="372" spans="1:105" ht="20" customHeight="1" x14ac:dyDescent="0.35">
      <c r="A372" s="290" t="s">
        <v>2066</v>
      </c>
      <c r="B372" s="270" t="s">
        <v>939</v>
      </c>
      <c r="C372" s="270" t="s">
        <v>1443</v>
      </c>
      <c r="D372" s="297" t="s">
        <v>632</v>
      </c>
      <c r="E372" s="270" t="s">
        <v>43</v>
      </c>
      <c r="F372" s="270" t="s">
        <v>1837</v>
      </c>
      <c r="G372" s="270" t="s">
        <v>36</v>
      </c>
      <c r="H372" s="349">
        <v>33</v>
      </c>
      <c r="I372" s="286"/>
      <c r="J372" s="286"/>
      <c r="K372" s="286"/>
      <c r="L372" s="286"/>
      <c r="M372" s="286"/>
      <c r="N372" s="286"/>
      <c r="O372" s="286"/>
      <c r="P372" s="292"/>
      <c r="Q372" s="286"/>
      <c r="R372" s="286"/>
      <c r="S372" s="300"/>
      <c r="T372" s="286"/>
      <c r="U372" s="286"/>
      <c r="V372" s="294"/>
      <c r="W372" s="286"/>
      <c r="X372" s="286"/>
      <c r="Y372" s="286"/>
      <c r="Z372" s="286"/>
      <c r="AA372" s="286"/>
      <c r="AB372" s="286"/>
      <c r="AC372" s="286"/>
      <c r="AD372" s="286"/>
      <c r="AE372" s="286"/>
      <c r="AF372" s="286"/>
      <c r="AG372" s="286"/>
      <c r="AH372" s="286"/>
      <c r="AI372" s="286"/>
      <c r="AJ372" s="286"/>
      <c r="AK372" s="295"/>
      <c r="AL372" s="288"/>
      <c r="AM372" s="287"/>
      <c r="AN372" s="287"/>
      <c r="AO372" s="287"/>
      <c r="AP372" s="286"/>
      <c r="AQ372" s="296"/>
      <c r="AR372" s="286"/>
      <c r="AS372" s="286"/>
      <c r="AT372" s="286"/>
      <c r="AU372" s="286"/>
      <c r="AV372" s="286"/>
      <c r="AW372" s="286"/>
      <c r="AX372" s="286"/>
      <c r="AY372" s="286"/>
      <c r="AZ372" s="286"/>
      <c r="BA372" s="286"/>
      <c r="BB372" s="286"/>
      <c r="BC372" s="286"/>
      <c r="BD372" s="287"/>
      <c r="BE372" s="287"/>
      <c r="BF372" s="287"/>
      <c r="BG372" s="288"/>
      <c r="BH372" s="287"/>
      <c r="BI372" s="287"/>
      <c r="BJ372" s="287"/>
      <c r="BK372" s="287"/>
      <c r="BL372" s="287"/>
      <c r="BM372" s="287"/>
      <c r="BN372" s="287"/>
      <c r="BO372" s="287"/>
      <c r="BP372" s="287"/>
      <c r="BQ372" s="287"/>
      <c r="BR372" s="287"/>
      <c r="BS372" s="287"/>
      <c r="BT372" s="287"/>
      <c r="BU372" s="287"/>
      <c r="BV372" s="287"/>
      <c r="BW372" s="287"/>
      <c r="BX372" s="286"/>
      <c r="BY372" s="289"/>
      <c r="BZ372" s="289"/>
      <c r="CA372" s="289"/>
      <c r="CB372" s="289"/>
      <c r="CC372" s="289"/>
      <c r="CD372" s="289"/>
      <c r="CE372" s="289"/>
      <c r="CF372" s="289"/>
      <c r="CG372" s="287"/>
      <c r="CH372" s="287"/>
      <c r="CI372" s="287"/>
      <c r="CJ372" s="287"/>
      <c r="CK372" s="287"/>
      <c r="CL372" s="287"/>
      <c r="CM372" s="287"/>
      <c r="CN372" s="287"/>
      <c r="CO372" s="287"/>
      <c r="CP372" s="287"/>
      <c r="CQ372" s="287">
        <v>38</v>
      </c>
      <c r="CR372" s="287"/>
      <c r="CS372" s="296">
        <v>38</v>
      </c>
      <c r="CT372" s="6"/>
      <c r="CU372" s="6"/>
      <c r="CV372" s="6"/>
      <c r="CW372" s="6"/>
      <c r="CX372" s="6"/>
      <c r="CY372" s="6"/>
      <c r="CZ372" s="6"/>
      <c r="DA372" s="343">
        <f>H372</f>
        <v>33</v>
      </c>
    </row>
    <row r="373" spans="1:105" ht="20" customHeight="1" x14ac:dyDescent="0.35">
      <c r="A373" s="290">
        <v>520711</v>
      </c>
      <c r="B373" s="270" t="s">
        <v>940</v>
      </c>
      <c r="C373" s="270" t="s">
        <v>1541</v>
      </c>
      <c r="D373" s="297" t="s">
        <v>632</v>
      </c>
      <c r="E373" s="270" t="s">
        <v>43</v>
      </c>
      <c r="F373" s="270" t="s">
        <v>1839</v>
      </c>
      <c r="G373" s="270" t="s">
        <v>36</v>
      </c>
      <c r="H373" s="298">
        <v>18</v>
      </c>
      <c r="I373" s="292">
        <v>23</v>
      </c>
      <c r="J373" s="286"/>
      <c r="K373" s="286"/>
      <c r="L373" s="286">
        <v>23</v>
      </c>
      <c r="M373" s="286"/>
      <c r="N373" s="292"/>
      <c r="O373" s="286"/>
      <c r="P373" s="292"/>
      <c r="Q373" s="286">
        <v>24</v>
      </c>
      <c r="R373" s="286">
        <v>23</v>
      </c>
      <c r="S373" s="286">
        <v>24</v>
      </c>
      <c r="T373" s="286"/>
      <c r="U373" s="286"/>
      <c r="V373" s="294"/>
      <c r="W373" s="286"/>
      <c r="X373" s="286"/>
      <c r="Y373" s="286"/>
      <c r="Z373" s="286"/>
      <c r="AA373" s="286"/>
      <c r="AB373" s="286">
        <v>23</v>
      </c>
      <c r="AC373" s="286"/>
      <c r="AD373" s="286"/>
      <c r="AE373" s="286"/>
      <c r="AF373" s="286"/>
      <c r="AG373" s="286"/>
      <c r="AH373" s="286"/>
      <c r="AI373" s="286"/>
      <c r="AJ373" s="286">
        <v>22</v>
      </c>
      <c r="AK373" s="295">
        <v>23</v>
      </c>
      <c r="AL373" s="288"/>
      <c r="AM373" s="287">
        <v>23</v>
      </c>
      <c r="AN373" s="287"/>
      <c r="AO373" s="287"/>
      <c r="AP373" s="286"/>
      <c r="AQ373" s="296">
        <v>23</v>
      </c>
      <c r="AR373" s="286"/>
      <c r="AS373" s="286"/>
      <c r="AT373" s="286"/>
      <c r="AU373" s="286"/>
      <c r="AV373" s="286"/>
      <c r="AW373" s="286"/>
      <c r="AX373" s="286"/>
      <c r="AY373" s="286"/>
      <c r="AZ373" s="286"/>
      <c r="BA373" s="286"/>
      <c r="BB373" s="286"/>
      <c r="BC373" s="286"/>
      <c r="BD373" s="287"/>
      <c r="BE373" s="287"/>
      <c r="BF373" s="287"/>
      <c r="BG373" s="288">
        <v>23</v>
      </c>
      <c r="BH373" s="287">
        <v>23</v>
      </c>
      <c r="BI373" s="287"/>
      <c r="BJ373" s="287"/>
      <c r="BK373" s="287"/>
      <c r="BL373" s="287"/>
      <c r="BM373" s="287"/>
      <c r="BN373" s="287"/>
      <c r="BO373" s="287"/>
      <c r="BP373" s="287"/>
      <c r="BQ373" s="287"/>
      <c r="BR373" s="287"/>
      <c r="BS373" s="287"/>
      <c r="BT373" s="287"/>
      <c r="BU373" s="287">
        <v>22</v>
      </c>
      <c r="BV373" s="287"/>
      <c r="BW373" s="287"/>
      <c r="BX373" s="286"/>
      <c r="BY373" s="289">
        <v>22</v>
      </c>
      <c r="BZ373" s="289">
        <v>25</v>
      </c>
      <c r="CA373" s="289"/>
      <c r="CB373" s="289"/>
      <c r="CC373" s="289"/>
      <c r="CD373" s="289"/>
      <c r="CE373" s="289"/>
      <c r="CF373" s="289"/>
      <c r="CG373" s="287"/>
      <c r="CH373" s="287"/>
      <c r="CI373" s="287"/>
      <c r="CJ373" s="287"/>
      <c r="CK373" s="287"/>
      <c r="CL373" s="287"/>
      <c r="CM373" s="287"/>
      <c r="CN373" s="287"/>
      <c r="CO373" s="287"/>
      <c r="CP373" s="287"/>
      <c r="CQ373" s="287">
        <v>22</v>
      </c>
      <c r="CR373" s="287">
        <v>23</v>
      </c>
      <c r="CS373" s="296">
        <v>21</v>
      </c>
      <c r="CT373" s="6"/>
      <c r="CU373" s="6"/>
      <c r="CV373" s="6"/>
      <c r="CW373" s="6"/>
      <c r="CX373" s="6"/>
      <c r="CY373" s="6"/>
      <c r="CZ373" s="6"/>
      <c r="DA373" s="343">
        <f t="shared" si="14"/>
        <v>18</v>
      </c>
    </row>
    <row r="374" spans="1:105" ht="20" customHeight="1" x14ac:dyDescent="0.35">
      <c r="A374" s="290" t="s">
        <v>2068</v>
      </c>
      <c r="B374" s="270" t="s">
        <v>940</v>
      </c>
      <c r="C374" s="270" t="s">
        <v>1541</v>
      </c>
      <c r="D374" s="297" t="s">
        <v>632</v>
      </c>
      <c r="E374" s="270" t="s">
        <v>43</v>
      </c>
      <c r="F374" s="270" t="s">
        <v>1839</v>
      </c>
      <c r="G374" s="270" t="s">
        <v>36</v>
      </c>
      <c r="H374" s="298">
        <v>18</v>
      </c>
      <c r="I374" s="292"/>
      <c r="J374" s="286"/>
      <c r="K374" s="286"/>
      <c r="L374" s="286"/>
      <c r="M374" s="286"/>
      <c r="N374" s="292"/>
      <c r="O374" s="286"/>
      <c r="P374" s="292"/>
      <c r="Q374" s="286"/>
      <c r="R374" s="286"/>
      <c r="S374" s="286"/>
      <c r="T374" s="286"/>
      <c r="U374" s="286"/>
      <c r="V374" s="294"/>
      <c r="W374" s="286"/>
      <c r="X374" s="286"/>
      <c r="Y374" s="286"/>
      <c r="Z374" s="286"/>
      <c r="AA374" s="286"/>
      <c r="AB374" s="286"/>
      <c r="AC374" s="286"/>
      <c r="AD374" s="286"/>
      <c r="AE374" s="286"/>
      <c r="AF374" s="286"/>
      <c r="AG374" s="286"/>
      <c r="AH374" s="286"/>
      <c r="AI374" s="286"/>
      <c r="AJ374" s="286"/>
      <c r="AK374" s="295"/>
      <c r="AL374" s="288"/>
      <c r="AM374" s="287"/>
      <c r="AN374" s="287"/>
      <c r="AO374" s="287"/>
      <c r="AP374" s="286"/>
      <c r="AQ374" s="296"/>
      <c r="AR374" s="286"/>
      <c r="AS374" s="286"/>
      <c r="AT374" s="286"/>
      <c r="AU374" s="286"/>
      <c r="AV374" s="286"/>
      <c r="AW374" s="286"/>
      <c r="AX374" s="286"/>
      <c r="AY374" s="286"/>
      <c r="AZ374" s="286"/>
      <c r="BA374" s="286"/>
      <c r="BB374" s="286"/>
      <c r="BC374" s="286"/>
      <c r="BD374" s="287"/>
      <c r="BE374" s="287"/>
      <c r="BF374" s="287"/>
      <c r="BG374" s="288"/>
      <c r="BH374" s="287"/>
      <c r="BI374" s="287"/>
      <c r="BJ374" s="287"/>
      <c r="BK374" s="287"/>
      <c r="BL374" s="287"/>
      <c r="BM374" s="287"/>
      <c r="BN374" s="287"/>
      <c r="BO374" s="287"/>
      <c r="BP374" s="287"/>
      <c r="BQ374" s="287"/>
      <c r="BR374" s="287"/>
      <c r="BS374" s="287"/>
      <c r="BT374" s="287"/>
      <c r="BU374" s="287"/>
      <c r="BV374" s="287"/>
      <c r="BW374" s="287"/>
      <c r="BX374" s="286"/>
      <c r="BY374" s="289"/>
      <c r="BZ374" s="289"/>
      <c r="CA374" s="289"/>
      <c r="CB374" s="289"/>
      <c r="CC374" s="289"/>
      <c r="CD374" s="289"/>
      <c r="CE374" s="289"/>
      <c r="CF374" s="289"/>
      <c r="CG374" s="287"/>
      <c r="CH374" s="287"/>
      <c r="CI374" s="287"/>
      <c r="CJ374" s="287"/>
      <c r="CK374" s="287"/>
      <c r="CL374" s="287"/>
      <c r="CM374" s="287"/>
      <c r="CN374" s="287"/>
      <c r="CO374" s="287"/>
      <c r="CP374" s="287"/>
      <c r="CQ374" s="287">
        <v>22</v>
      </c>
      <c r="CR374" s="287"/>
      <c r="CS374" s="296">
        <v>21</v>
      </c>
      <c r="CT374" s="6"/>
      <c r="CU374" s="6"/>
      <c r="CV374" s="6"/>
      <c r="CW374" s="6"/>
      <c r="CX374" s="6"/>
      <c r="CY374" s="6"/>
      <c r="CZ374" s="6"/>
      <c r="DA374" s="343">
        <f>H374</f>
        <v>18</v>
      </c>
    </row>
    <row r="375" spans="1:105" ht="20" customHeight="1" x14ac:dyDescent="0.35">
      <c r="A375" s="290"/>
      <c r="B375" s="270" t="s">
        <v>941</v>
      </c>
      <c r="C375" s="270" t="s">
        <v>1541</v>
      </c>
      <c r="D375" s="297" t="s">
        <v>632</v>
      </c>
      <c r="E375" s="270" t="s">
        <v>43</v>
      </c>
      <c r="F375" s="270" t="s">
        <v>1841</v>
      </c>
      <c r="G375" s="270" t="s">
        <v>42</v>
      </c>
      <c r="H375" s="298"/>
      <c r="I375" s="292"/>
      <c r="J375" s="286"/>
      <c r="K375" s="286"/>
      <c r="L375" s="286"/>
      <c r="M375" s="286"/>
      <c r="N375" s="286"/>
      <c r="O375" s="286"/>
      <c r="P375" s="286"/>
      <c r="Q375" s="286"/>
      <c r="R375" s="286"/>
      <c r="S375" s="286"/>
      <c r="T375" s="286"/>
      <c r="U375" s="286"/>
      <c r="V375" s="294"/>
      <c r="W375" s="286"/>
      <c r="X375" s="286"/>
      <c r="Y375" s="286"/>
      <c r="Z375" s="286"/>
      <c r="AA375" s="286"/>
      <c r="AB375" s="286"/>
      <c r="AC375" s="286"/>
      <c r="AD375" s="286"/>
      <c r="AE375" s="286"/>
      <c r="AF375" s="286"/>
      <c r="AG375" s="286"/>
      <c r="AH375" s="286"/>
      <c r="AI375" s="286"/>
      <c r="AJ375" s="286"/>
      <c r="AK375" s="287"/>
      <c r="AL375" s="288"/>
      <c r="AM375" s="287"/>
      <c r="AN375" s="287"/>
      <c r="AO375" s="287"/>
      <c r="AP375" s="286"/>
      <c r="AQ375" s="296"/>
      <c r="AR375" s="286"/>
      <c r="AS375" s="286"/>
      <c r="AT375" s="286"/>
      <c r="AU375" s="286"/>
      <c r="AV375" s="286"/>
      <c r="AW375" s="286"/>
      <c r="AX375" s="286"/>
      <c r="AY375" s="286"/>
      <c r="AZ375" s="286"/>
      <c r="BA375" s="286"/>
      <c r="BB375" s="286"/>
      <c r="BC375" s="286"/>
      <c r="BD375" s="287"/>
      <c r="BE375" s="287"/>
      <c r="BF375" s="287"/>
      <c r="BG375" s="287"/>
      <c r="BH375" s="287"/>
      <c r="BI375" s="287"/>
      <c r="BJ375" s="287"/>
      <c r="BK375" s="287"/>
      <c r="BL375" s="287"/>
      <c r="BM375" s="287"/>
      <c r="BN375" s="287"/>
      <c r="BO375" s="287"/>
      <c r="BP375" s="287"/>
      <c r="BQ375" s="287"/>
      <c r="BR375" s="287"/>
      <c r="BS375" s="287"/>
      <c r="BT375" s="287"/>
      <c r="BU375" s="287"/>
      <c r="BV375" s="287"/>
      <c r="BW375" s="287"/>
      <c r="BX375" s="286"/>
      <c r="BY375" s="289"/>
      <c r="BZ375" s="289"/>
      <c r="CA375" s="289"/>
      <c r="CB375" s="289"/>
      <c r="CC375" s="289"/>
      <c r="CD375" s="289"/>
      <c r="CE375" s="289"/>
      <c r="CF375" s="289"/>
      <c r="CG375" s="287"/>
      <c r="CH375" s="287"/>
      <c r="CI375" s="287"/>
      <c r="CJ375" s="287"/>
      <c r="CK375" s="287"/>
      <c r="CL375" s="287"/>
      <c r="CM375" s="287"/>
      <c r="CN375" s="287"/>
      <c r="CO375" s="287"/>
      <c r="CP375" s="287"/>
      <c r="CQ375" s="287"/>
      <c r="CR375" s="287"/>
      <c r="CS375" s="6"/>
      <c r="CT375" s="6"/>
      <c r="CU375" s="6"/>
      <c r="CV375" s="6"/>
      <c r="CW375" s="6"/>
      <c r="CX375" s="6"/>
      <c r="CY375" s="6"/>
      <c r="CZ375" s="6"/>
      <c r="DA375" s="343">
        <f t="shared" si="14"/>
        <v>0</v>
      </c>
    </row>
    <row r="376" spans="1:105" ht="20" customHeight="1" x14ac:dyDescent="0.35">
      <c r="A376" s="290">
        <v>520710</v>
      </c>
      <c r="B376" s="270" t="s">
        <v>942</v>
      </c>
      <c r="C376" s="270" t="s">
        <v>1437</v>
      </c>
      <c r="D376" s="297" t="s">
        <v>632</v>
      </c>
      <c r="E376" s="270" t="s">
        <v>43</v>
      </c>
      <c r="F376" s="270" t="s">
        <v>1838</v>
      </c>
      <c r="G376" s="270" t="s">
        <v>36</v>
      </c>
      <c r="H376" s="298">
        <v>18</v>
      </c>
      <c r="I376" s="292">
        <v>23</v>
      </c>
      <c r="J376" s="286"/>
      <c r="K376" s="286"/>
      <c r="L376" s="286"/>
      <c r="M376" s="286"/>
      <c r="N376" s="292"/>
      <c r="O376" s="286"/>
      <c r="P376" s="292"/>
      <c r="Q376" s="286">
        <v>24</v>
      </c>
      <c r="R376" s="286">
        <v>23</v>
      </c>
      <c r="S376" s="286">
        <v>24</v>
      </c>
      <c r="T376" s="286"/>
      <c r="U376" s="286"/>
      <c r="V376" s="294"/>
      <c r="W376" s="286"/>
      <c r="X376" s="286"/>
      <c r="Y376" s="286"/>
      <c r="Z376" s="286"/>
      <c r="AA376" s="286"/>
      <c r="AB376" s="286"/>
      <c r="AC376" s="286"/>
      <c r="AD376" s="286"/>
      <c r="AE376" s="286"/>
      <c r="AF376" s="286"/>
      <c r="AG376" s="286"/>
      <c r="AH376" s="286"/>
      <c r="AI376" s="286"/>
      <c r="AJ376" s="286"/>
      <c r="AK376" s="295"/>
      <c r="AL376" s="288"/>
      <c r="AM376" s="287">
        <v>23</v>
      </c>
      <c r="AN376" s="287"/>
      <c r="AO376" s="287"/>
      <c r="AP376" s="286"/>
      <c r="AQ376" s="296"/>
      <c r="AR376" s="286"/>
      <c r="AS376" s="286"/>
      <c r="AT376" s="286"/>
      <c r="AU376" s="286"/>
      <c r="AV376" s="286"/>
      <c r="AW376" s="286"/>
      <c r="AX376" s="286"/>
      <c r="AY376" s="286"/>
      <c r="AZ376" s="286"/>
      <c r="BA376" s="286"/>
      <c r="BB376" s="286"/>
      <c r="BC376" s="286"/>
      <c r="BD376" s="287"/>
      <c r="BE376" s="287"/>
      <c r="BF376" s="287"/>
      <c r="BG376" s="288">
        <v>23</v>
      </c>
      <c r="BH376" s="287">
        <v>23</v>
      </c>
      <c r="BI376" s="287"/>
      <c r="BJ376" s="287"/>
      <c r="BK376" s="287"/>
      <c r="BL376" s="287"/>
      <c r="BM376" s="287"/>
      <c r="BN376" s="287"/>
      <c r="BO376" s="287"/>
      <c r="BP376" s="287"/>
      <c r="BQ376" s="287"/>
      <c r="BR376" s="287"/>
      <c r="BS376" s="287"/>
      <c r="BT376" s="287"/>
      <c r="BU376" s="287">
        <v>22</v>
      </c>
      <c r="BV376" s="287"/>
      <c r="BW376" s="287"/>
      <c r="BX376" s="286"/>
      <c r="BY376" s="289"/>
      <c r="BZ376" s="289">
        <v>25</v>
      </c>
      <c r="CA376" s="289"/>
      <c r="CB376" s="289"/>
      <c r="CC376" s="289"/>
      <c r="CD376" s="289"/>
      <c r="CE376" s="289"/>
      <c r="CF376" s="289"/>
      <c r="CG376" s="287"/>
      <c r="CH376" s="287"/>
      <c r="CI376" s="287"/>
      <c r="CJ376" s="287"/>
      <c r="CK376" s="287"/>
      <c r="CL376" s="287"/>
      <c r="CM376" s="287"/>
      <c r="CN376" s="287"/>
      <c r="CO376" s="287"/>
      <c r="CP376" s="287"/>
      <c r="CQ376" s="287">
        <v>22</v>
      </c>
      <c r="CR376" s="287"/>
      <c r="CS376" s="296">
        <v>21</v>
      </c>
      <c r="CT376" s="6"/>
      <c r="CU376" s="6"/>
      <c r="CV376" s="6"/>
      <c r="CW376" s="6"/>
      <c r="CX376" s="6"/>
      <c r="CY376" s="6"/>
      <c r="CZ376" s="6"/>
      <c r="DA376" s="343">
        <f t="shared" si="14"/>
        <v>18</v>
      </c>
    </row>
    <row r="377" spans="1:105" ht="20" customHeight="1" x14ac:dyDescent="0.35">
      <c r="A377" s="290"/>
      <c r="B377" s="270" t="s">
        <v>943</v>
      </c>
      <c r="C377" s="270" t="s">
        <v>1437</v>
      </c>
      <c r="D377" s="297" t="s">
        <v>632</v>
      </c>
      <c r="E377" s="270" t="s">
        <v>43</v>
      </c>
      <c r="F377" s="270" t="s">
        <v>1840</v>
      </c>
      <c r="G377" s="270" t="s">
        <v>42</v>
      </c>
      <c r="H377" s="298"/>
      <c r="I377" s="292"/>
      <c r="J377" s="286"/>
      <c r="K377" s="286"/>
      <c r="L377" s="286"/>
      <c r="M377" s="286"/>
      <c r="N377" s="286"/>
      <c r="O377" s="286"/>
      <c r="P377" s="286"/>
      <c r="Q377" s="286"/>
      <c r="R377" s="286"/>
      <c r="S377" s="286"/>
      <c r="T377" s="286"/>
      <c r="U377" s="286"/>
      <c r="V377" s="294"/>
      <c r="W377" s="286"/>
      <c r="X377" s="286"/>
      <c r="Y377" s="286"/>
      <c r="Z377" s="286"/>
      <c r="AA377" s="286"/>
      <c r="AB377" s="286"/>
      <c r="AC377" s="286"/>
      <c r="AD377" s="286"/>
      <c r="AE377" s="286"/>
      <c r="AF377" s="286"/>
      <c r="AG377" s="286"/>
      <c r="AH377" s="286"/>
      <c r="AI377" s="286"/>
      <c r="AJ377" s="286"/>
      <c r="AK377" s="287"/>
      <c r="AL377" s="288"/>
      <c r="AM377" s="287"/>
      <c r="AN377" s="287"/>
      <c r="AO377" s="287"/>
      <c r="AP377" s="286"/>
      <c r="AQ377" s="296"/>
      <c r="AR377" s="286"/>
      <c r="AS377" s="286"/>
      <c r="AT377" s="286"/>
      <c r="AU377" s="286"/>
      <c r="AV377" s="286"/>
      <c r="AW377" s="286"/>
      <c r="AX377" s="286"/>
      <c r="AY377" s="286"/>
      <c r="AZ377" s="286"/>
      <c r="BA377" s="286"/>
      <c r="BB377" s="286"/>
      <c r="BC377" s="286"/>
      <c r="BD377" s="287"/>
      <c r="BE377" s="287"/>
      <c r="BF377" s="287"/>
      <c r="BG377" s="287"/>
      <c r="BH377" s="287"/>
      <c r="BI377" s="287"/>
      <c r="BJ377" s="287"/>
      <c r="BK377" s="287"/>
      <c r="BL377" s="287"/>
      <c r="BM377" s="287"/>
      <c r="BN377" s="287"/>
      <c r="BO377" s="287"/>
      <c r="BP377" s="287"/>
      <c r="BQ377" s="287"/>
      <c r="BR377" s="287"/>
      <c r="BS377" s="287"/>
      <c r="BT377" s="287"/>
      <c r="BU377" s="287"/>
      <c r="BV377" s="287"/>
      <c r="BW377" s="287"/>
      <c r="BX377" s="286"/>
      <c r="BY377" s="289"/>
      <c r="BZ377" s="289"/>
      <c r="CA377" s="289"/>
      <c r="CB377" s="289"/>
      <c r="CC377" s="289"/>
      <c r="CD377" s="289"/>
      <c r="CE377" s="289"/>
      <c r="CF377" s="289"/>
      <c r="CG377" s="287"/>
      <c r="CH377" s="287"/>
      <c r="CI377" s="287"/>
      <c r="CJ377" s="287"/>
      <c r="CK377" s="287"/>
      <c r="CL377" s="287"/>
      <c r="CM377" s="287"/>
      <c r="CN377" s="287"/>
      <c r="CO377" s="287"/>
      <c r="CP377" s="287"/>
      <c r="CQ377" s="287"/>
      <c r="CR377" s="287"/>
      <c r="CS377" s="6"/>
      <c r="CT377" s="6"/>
      <c r="CU377" s="6"/>
      <c r="CV377" s="6"/>
      <c r="CW377" s="6"/>
      <c r="CX377" s="6"/>
      <c r="CY377" s="6"/>
      <c r="CZ377" s="6"/>
      <c r="DA377" s="343">
        <f t="shared" si="14"/>
        <v>0</v>
      </c>
    </row>
    <row r="378" spans="1:105" ht="20" customHeight="1" x14ac:dyDescent="0.35">
      <c r="A378" s="290"/>
      <c r="B378" s="270" t="s">
        <v>944</v>
      </c>
      <c r="C378" s="270" t="s">
        <v>1542</v>
      </c>
      <c r="D378" s="297" t="s">
        <v>623</v>
      </c>
      <c r="E378" s="270" t="s">
        <v>633</v>
      </c>
      <c r="F378" s="270" t="s">
        <v>1843</v>
      </c>
      <c r="G378" s="270" t="s">
        <v>36</v>
      </c>
      <c r="H378" s="298">
        <v>50</v>
      </c>
      <c r="I378" s="292"/>
      <c r="J378" s="286"/>
      <c r="K378" s="286"/>
      <c r="L378" s="286"/>
      <c r="M378" s="286"/>
      <c r="N378" s="286"/>
      <c r="O378" s="286"/>
      <c r="P378" s="286"/>
      <c r="Q378" s="286"/>
      <c r="R378" s="286"/>
      <c r="S378" s="286"/>
      <c r="T378" s="286"/>
      <c r="U378" s="286"/>
      <c r="V378" s="294"/>
      <c r="W378" s="286"/>
      <c r="X378" s="286"/>
      <c r="Y378" s="286"/>
      <c r="Z378" s="286"/>
      <c r="AA378" s="286"/>
      <c r="AB378" s="286"/>
      <c r="AC378" s="286"/>
      <c r="AD378" s="286"/>
      <c r="AE378" s="286"/>
      <c r="AF378" s="286"/>
      <c r="AG378" s="286"/>
      <c r="AH378" s="286"/>
      <c r="AI378" s="286"/>
      <c r="AJ378" s="286"/>
      <c r="AK378" s="287"/>
      <c r="AL378" s="288"/>
      <c r="AM378" s="287"/>
      <c r="AN378" s="287"/>
      <c r="AO378" s="287"/>
      <c r="AP378" s="286"/>
      <c r="AQ378" s="296"/>
      <c r="AR378" s="286"/>
      <c r="AS378" s="286"/>
      <c r="AT378" s="286"/>
      <c r="AU378" s="286"/>
      <c r="AV378" s="286"/>
      <c r="AW378" s="286"/>
      <c r="AX378" s="286"/>
      <c r="AY378" s="286"/>
      <c r="AZ378" s="286"/>
      <c r="BA378" s="286"/>
      <c r="BB378" s="286"/>
      <c r="BC378" s="286"/>
      <c r="BD378" s="287"/>
      <c r="BE378" s="287"/>
      <c r="BF378" s="287"/>
      <c r="BG378" s="287"/>
      <c r="BH378" s="287"/>
      <c r="BI378" s="287"/>
      <c r="BJ378" s="287"/>
      <c r="BK378" s="287"/>
      <c r="BL378" s="287"/>
      <c r="BM378" s="287"/>
      <c r="BN378" s="287"/>
      <c r="BO378" s="287"/>
      <c r="BP378" s="287"/>
      <c r="BQ378" s="287"/>
      <c r="BR378" s="287"/>
      <c r="BS378" s="287"/>
      <c r="BT378" s="287"/>
      <c r="BU378" s="287"/>
      <c r="BV378" s="287"/>
      <c r="BW378" s="287"/>
      <c r="BX378" s="286"/>
      <c r="BY378" s="289"/>
      <c r="BZ378" s="289"/>
      <c r="CA378" s="289"/>
      <c r="CB378" s="289"/>
      <c r="CC378" s="289"/>
      <c r="CD378" s="289"/>
      <c r="CE378" s="289"/>
      <c r="CF378" s="289"/>
      <c r="CG378" s="287"/>
      <c r="CH378" s="287"/>
      <c r="CI378" s="287"/>
      <c r="CJ378" s="287"/>
      <c r="CK378" s="287"/>
      <c r="CL378" s="287"/>
      <c r="CM378" s="287"/>
      <c r="CN378" s="287"/>
      <c r="CO378" s="287"/>
      <c r="CP378" s="287"/>
      <c r="CQ378" s="287"/>
      <c r="CR378" s="287"/>
      <c r="CS378" s="6"/>
      <c r="CT378" s="6"/>
      <c r="CU378" s="6"/>
      <c r="CV378" s="6"/>
      <c r="CW378" s="6"/>
      <c r="CX378" s="6"/>
      <c r="CY378" s="6"/>
      <c r="CZ378" s="6"/>
      <c r="DA378" s="343">
        <f t="shared" si="14"/>
        <v>50</v>
      </c>
    </row>
    <row r="379" spans="1:105" ht="20" customHeight="1" x14ac:dyDescent="0.35">
      <c r="A379" s="290">
        <v>1350378</v>
      </c>
      <c r="B379" s="270" t="s">
        <v>945</v>
      </c>
      <c r="C379" s="270" t="s">
        <v>1542</v>
      </c>
      <c r="D379" s="297" t="s">
        <v>623</v>
      </c>
      <c r="E379" s="270" t="s">
        <v>633</v>
      </c>
      <c r="F379" s="270" t="s">
        <v>1842</v>
      </c>
      <c r="G379" s="270" t="s">
        <v>42</v>
      </c>
      <c r="H379" s="298">
        <f>H378/6</f>
        <v>8.3333333333333339</v>
      </c>
      <c r="I379" s="300">
        <v>12</v>
      </c>
      <c r="J379" s="286"/>
      <c r="K379" s="286"/>
      <c r="L379" s="286"/>
      <c r="M379" s="286"/>
      <c r="N379" s="286"/>
      <c r="O379" s="286"/>
      <c r="P379" s="286"/>
      <c r="Q379" s="286"/>
      <c r="R379" s="286">
        <v>10.5</v>
      </c>
      <c r="S379" s="286"/>
      <c r="T379" s="286"/>
      <c r="U379" s="286"/>
      <c r="V379" s="286"/>
      <c r="W379" s="286"/>
      <c r="X379" s="286"/>
      <c r="Y379" s="286">
        <v>11</v>
      </c>
      <c r="Z379" s="286"/>
      <c r="AA379" s="286"/>
      <c r="AB379" s="286"/>
      <c r="AC379" s="286"/>
      <c r="AD379" s="286"/>
      <c r="AE379" s="286"/>
      <c r="AF379" s="286"/>
      <c r="AG379" s="286"/>
      <c r="AH379" s="286"/>
      <c r="AI379" s="286"/>
      <c r="AJ379" s="286">
        <v>11.5</v>
      </c>
      <c r="AK379" s="295"/>
      <c r="AL379" s="288"/>
      <c r="AM379" s="287">
        <v>11</v>
      </c>
      <c r="AN379" s="287"/>
      <c r="AO379" s="287"/>
      <c r="AP379" s="286"/>
      <c r="AQ379" s="296">
        <v>12</v>
      </c>
      <c r="AR379" s="286"/>
      <c r="AS379" s="286"/>
      <c r="AT379" s="286"/>
      <c r="AU379" s="286"/>
      <c r="AV379" s="286"/>
      <c r="AW379" s="286"/>
      <c r="AX379" s="286"/>
      <c r="AY379" s="286"/>
      <c r="AZ379" s="286"/>
      <c r="BA379" s="286"/>
      <c r="BB379" s="286"/>
      <c r="BC379" s="286"/>
      <c r="BD379" s="287"/>
      <c r="BE379" s="287"/>
      <c r="BF379" s="287"/>
      <c r="BG379" s="288">
        <v>11</v>
      </c>
      <c r="BH379" s="287"/>
      <c r="BI379" s="287"/>
      <c r="BJ379" s="287">
        <v>10.5</v>
      </c>
      <c r="BK379" s="287"/>
      <c r="BL379" s="287"/>
      <c r="BM379" s="287"/>
      <c r="BN379" s="287"/>
      <c r="BO379" s="287"/>
      <c r="BP379" s="287"/>
      <c r="BQ379" s="287">
        <v>11</v>
      </c>
      <c r="BR379" s="287"/>
      <c r="BS379" s="287"/>
      <c r="BT379" s="287"/>
      <c r="BU379" s="287"/>
      <c r="BV379" s="287"/>
      <c r="BW379" s="287"/>
      <c r="BX379" s="286"/>
      <c r="BY379" s="289">
        <v>11</v>
      </c>
      <c r="BZ379" s="289">
        <v>11</v>
      </c>
      <c r="CA379" s="289"/>
      <c r="CB379" s="289"/>
      <c r="CC379" s="289">
        <v>11</v>
      </c>
      <c r="CD379" s="289"/>
      <c r="CE379" s="289"/>
      <c r="CF379" s="289"/>
      <c r="CG379" s="287"/>
      <c r="CH379" s="287"/>
      <c r="CI379" s="287"/>
      <c r="CJ379" s="287"/>
      <c r="CK379" s="287"/>
      <c r="CL379" s="287"/>
      <c r="CM379" s="287"/>
      <c r="CN379" s="287"/>
      <c r="CO379" s="287"/>
      <c r="CP379" s="287"/>
      <c r="CQ379" s="287">
        <v>12</v>
      </c>
      <c r="CR379" s="287">
        <v>11</v>
      </c>
      <c r="CS379" s="296">
        <v>9.8000000000000007</v>
      </c>
      <c r="CT379" s="6"/>
      <c r="CU379" s="6"/>
      <c r="CV379" s="6"/>
      <c r="CW379" s="6"/>
      <c r="CX379" s="6"/>
      <c r="CY379" s="6"/>
      <c r="CZ379" s="6"/>
      <c r="DA379" s="343">
        <f t="shared" si="14"/>
        <v>8.3333333333333339</v>
      </c>
    </row>
    <row r="380" spans="1:105" ht="20" customHeight="1" x14ac:dyDescent="0.35">
      <c r="A380" s="290" t="s">
        <v>2096</v>
      </c>
      <c r="B380" s="270" t="s">
        <v>1074</v>
      </c>
      <c r="C380" s="270" t="s">
        <v>2045</v>
      </c>
      <c r="D380" s="270" t="s">
        <v>604</v>
      </c>
      <c r="E380" s="270" t="s">
        <v>2046</v>
      </c>
      <c r="F380" s="270" t="s">
        <v>688</v>
      </c>
      <c r="G380" s="270" t="s">
        <v>36</v>
      </c>
      <c r="H380" s="298">
        <v>38</v>
      </c>
      <c r="I380" s="286"/>
      <c r="J380" s="286"/>
      <c r="K380" s="286"/>
      <c r="L380" s="286"/>
      <c r="M380" s="286"/>
      <c r="N380" s="286"/>
      <c r="O380" s="286"/>
      <c r="P380" s="286"/>
      <c r="Q380" s="286"/>
      <c r="R380" s="286"/>
      <c r="S380" s="286"/>
      <c r="T380" s="286"/>
      <c r="U380" s="286"/>
      <c r="V380" s="294"/>
      <c r="W380" s="286"/>
      <c r="X380" s="286"/>
      <c r="Y380" s="286"/>
      <c r="Z380" s="286"/>
      <c r="AA380" s="286"/>
      <c r="AB380" s="286"/>
      <c r="AC380" s="286"/>
      <c r="AD380" s="286"/>
      <c r="AE380" s="286"/>
      <c r="AF380" s="286"/>
      <c r="AG380" s="286"/>
      <c r="AH380" s="286"/>
      <c r="AI380" s="286"/>
      <c r="AJ380" s="286"/>
      <c r="AK380" s="287"/>
      <c r="AL380" s="288"/>
      <c r="AM380" s="287"/>
      <c r="AN380" s="287"/>
      <c r="AO380" s="287"/>
      <c r="AP380" s="286"/>
      <c r="AQ380" s="296"/>
      <c r="AR380" s="286"/>
      <c r="AS380" s="286"/>
      <c r="AT380" s="286"/>
      <c r="AU380" s="286"/>
      <c r="AV380" s="286"/>
      <c r="AW380" s="286"/>
      <c r="AX380" s="286"/>
      <c r="AY380" s="286"/>
      <c r="AZ380" s="286"/>
      <c r="BA380" s="286"/>
      <c r="BB380" s="286"/>
      <c r="BC380" s="286"/>
      <c r="BD380" s="287"/>
      <c r="BE380" s="287"/>
      <c r="BF380" s="287"/>
      <c r="BG380" s="287"/>
      <c r="BH380" s="287"/>
      <c r="BI380" s="287"/>
      <c r="BJ380" s="287"/>
      <c r="BK380" s="287"/>
      <c r="BL380" s="287"/>
      <c r="BM380" s="287"/>
      <c r="BN380" s="287"/>
      <c r="BO380" s="287"/>
      <c r="BP380" s="287"/>
      <c r="BQ380" s="287"/>
      <c r="BR380" s="287"/>
      <c r="BS380" s="287"/>
      <c r="BT380" s="287"/>
      <c r="BU380" s="287"/>
      <c r="BV380" s="287"/>
      <c r="BW380" s="287"/>
      <c r="BX380" s="286"/>
      <c r="BY380" s="289"/>
      <c r="BZ380" s="289"/>
      <c r="CA380" s="289"/>
      <c r="CB380" s="289"/>
      <c r="CC380" s="289"/>
      <c r="CD380" s="289"/>
      <c r="CE380" s="289"/>
      <c r="CF380" s="289"/>
      <c r="CG380" s="287"/>
      <c r="CH380" s="287"/>
      <c r="CI380" s="287"/>
      <c r="CJ380" s="287"/>
      <c r="CK380" s="287"/>
      <c r="CL380" s="287"/>
      <c r="CM380" s="287"/>
      <c r="CN380" s="287"/>
      <c r="CO380" s="287"/>
      <c r="CP380" s="287"/>
      <c r="CQ380" s="287">
        <v>50</v>
      </c>
      <c r="CR380" s="287"/>
      <c r="CS380" s="6"/>
      <c r="CT380" s="6"/>
      <c r="CU380" s="6"/>
      <c r="CV380" s="6"/>
      <c r="CW380" s="6"/>
      <c r="CX380" s="6"/>
      <c r="CY380" s="6"/>
      <c r="CZ380" s="6"/>
      <c r="DA380" s="343">
        <f t="shared" si="14"/>
        <v>38</v>
      </c>
    </row>
    <row r="381" spans="1:105" ht="20" customHeight="1" x14ac:dyDescent="0.35">
      <c r="A381" s="290"/>
      <c r="B381" s="270" t="s">
        <v>946</v>
      </c>
      <c r="C381" s="270" t="s">
        <v>1543</v>
      </c>
      <c r="D381" s="297" t="s">
        <v>632</v>
      </c>
      <c r="E381" s="270" t="s">
        <v>686</v>
      </c>
      <c r="F381" s="270" t="s">
        <v>1847</v>
      </c>
      <c r="G381" s="270" t="s">
        <v>36</v>
      </c>
      <c r="H381" s="298">
        <v>52</v>
      </c>
      <c r="I381" s="292">
        <v>58</v>
      </c>
      <c r="J381" s="286"/>
      <c r="K381" s="286"/>
      <c r="L381" s="286"/>
      <c r="M381" s="286"/>
      <c r="N381" s="286"/>
      <c r="O381" s="286">
        <v>58</v>
      </c>
      <c r="P381" s="286"/>
      <c r="Q381" s="286"/>
      <c r="R381" s="286">
        <v>58</v>
      </c>
      <c r="S381" s="286"/>
      <c r="T381" s="286"/>
      <c r="U381" s="286"/>
      <c r="V381" s="294"/>
      <c r="W381" s="286"/>
      <c r="X381" s="286"/>
      <c r="Y381" s="286"/>
      <c r="Z381" s="286"/>
      <c r="AA381" s="286"/>
      <c r="AB381" s="286"/>
      <c r="AC381" s="286">
        <v>58</v>
      </c>
      <c r="AD381" s="286"/>
      <c r="AE381" s="286"/>
      <c r="AF381" s="286"/>
      <c r="AG381" s="286"/>
      <c r="AH381" s="286"/>
      <c r="AI381" s="286"/>
      <c r="AJ381" s="286"/>
      <c r="AK381" s="295">
        <v>60</v>
      </c>
      <c r="AL381" s="288"/>
      <c r="AM381" s="287">
        <v>58</v>
      </c>
      <c r="AN381" s="287"/>
      <c r="AO381" s="287"/>
      <c r="AP381" s="286"/>
      <c r="AQ381" s="296"/>
      <c r="AR381" s="286"/>
      <c r="AS381" s="286"/>
      <c r="AT381" s="286"/>
      <c r="AU381" s="286"/>
      <c r="AV381" s="286"/>
      <c r="AW381" s="286"/>
      <c r="AX381" s="286"/>
      <c r="AY381" s="286"/>
      <c r="AZ381" s="286"/>
      <c r="BA381" s="286"/>
      <c r="BB381" s="286"/>
      <c r="BC381" s="286"/>
      <c r="BD381" s="287"/>
      <c r="BE381" s="287"/>
      <c r="BF381" s="287"/>
      <c r="BG381" s="288">
        <v>60</v>
      </c>
      <c r="BH381" s="287">
        <v>60</v>
      </c>
      <c r="BI381" s="287"/>
      <c r="BJ381" s="287"/>
      <c r="BK381" s="287"/>
      <c r="BL381" s="287"/>
      <c r="BM381" s="287"/>
      <c r="BN381" s="287"/>
      <c r="BO381" s="287"/>
      <c r="BP381" s="287"/>
      <c r="BQ381" s="287"/>
      <c r="BR381" s="287"/>
      <c r="BS381" s="287"/>
      <c r="BT381" s="287">
        <v>60</v>
      </c>
      <c r="BU381" s="287"/>
      <c r="BV381" s="287"/>
      <c r="BW381" s="287"/>
      <c r="BX381" s="286"/>
      <c r="BY381" s="289"/>
      <c r="BZ381" s="289">
        <v>58</v>
      </c>
      <c r="CA381" s="289"/>
      <c r="CB381" s="289"/>
      <c r="CC381" s="289"/>
      <c r="CD381" s="289"/>
      <c r="CE381" s="289"/>
      <c r="CF381" s="289"/>
      <c r="CG381" s="287"/>
      <c r="CH381" s="287"/>
      <c r="CI381" s="287"/>
      <c r="CJ381" s="287"/>
      <c r="CK381" s="287"/>
      <c r="CL381" s="287"/>
      <c r="CM381" s="287"/>
      <c r="CN381" s="287"/>
      <c r="CO381" s="287"/>
      <c r="CP381" s="287"/>
      <c r="CQ381" s="287">
        <v>60</v>
      </c>
      <c r="CR381" s="287"/>
      <c r="CS381" s="296">
        <v>60</v>
      </c>
      <c r="CT381" s="6"/>
      <c r="CU381" s="6"/>
      <c r="CV381" s="6"/>
      <c r="CW381" s="6"/>
      <c r="CX381" s="6"/>
      <c r="CY381" s="6"/>
      <c r="CZ381" s="6"/>
      <c r="DA381" s="343">
        <f t="shared" si="14"/>
        <v>52</v>
      </c>
    </row>
    <row r="382" spans="1:105" ht="20" customHeight="1" x14ac:dyDescent="0.35">
      <c r="A382" s="301"/>
      <c r="B382" s="270" t="s">
        <v>947</v>
      </c>
      <c r="C382" s="270" t="s">
        <v>1543</v>
      </c>
      <c r="D382" s="297" t="s">
        <v>632</v>
      </c>
      <c r="E382" s="270" t="s">
        <v>686</v>
      </c>
      <c r="F382" s="270" t="s">
        <v>1848</v>
      </c>
      <c r="G382" s="270" t="s">
        <v>415</v>
      </c>
      <c r="H382" s="298">
        <f>H381/48</f>
        <v>1.0833333333333333</v>
      </c>
      <c r="I382" s="286">
        <v>0</v>
      </c>
      <c r="J382" s="286"/>
      <c r="K382" s="286"/>
      <c r="L382" s="286"/>
      <c r="M382" s="286"/>
      <c r="N382" s="296">
        <v>1.3</v>
      </c>
      <c r="O382" s="286"/>
      <c r="P382" s="286"/>
      <c r="Q382" s="286"/>
      <c r="R382" s="286"/>
      <c r="S382" s="286"/>
      <c r="T382" s="286"/>
      <c r="U382" s="286"/>
      <c r="V382" s="286"/>
      <c r="W382" s="286"/>
      <c r="X382" s="286"/>
      <c r="Y382" s="286"/>
      <c r="Z382" s="286"/>
      <c r="AA382" s="286"/>
      <c r="AB382" s="286"/>
      <c r="AC382" s="286"/>
      <c r="AD382" s="286"/>
      <c r="AE382" s="286"/>
      <c r="AF382" s="286"/>
      <c r="AG382" s="286"/>
      <c r="AH382" s="286"/>
      <c r="AI382" s="286"/>
      <c r="AJ382" s="286"/>
      <c r="AK382" s="287"/>
      <c r="AL382" s="288"/>
      <c r="AM382" s="287"/>
      <c r="AN382" s="287"/>
      <c r="AO382" s="287"/>
      <c r="AP382" s="286"/>
      <c r="AQ382" s="296"/>
      <c r="AR382" s="286"/>
      <c r="AS382" s="286"/>
      <c r="AT382" s="286"/>
      <c r="AU382" s="286"/>
      <c r="AV382" s="286"/>
      <c r="AW382" s="286"/>
      <c r="AX382" s="286"/>
      <c r="AY382" s="286"/>
      <c r="AZ382" s="286"/>
      <c r="BA382" s="286"/>
      <c r="BB382" s="286"/>
      <c r="BC382" s="286"/>
      <c r="BD382" s="287"/>
      <c r="BE382" s="287"/>
      <c r="BF382" s="287"/>
      <c r="BG382" s="288">
        <v>1.35</v>
      </c>
      <c r="BH382" s="287"/>
      <c r="BI382" s="287"/>
      <c r="BJ382" s="287"/>
      <c r="BK382" s="287"/>
      <c r="BL382" s="287"/>
      <c r="BM382" s="287"/>
      <c r="BN382" s="287"/>
      <c r="BO382" s="287"/>
      <c r="BP382" s="287"/>
      <c r="BQ382" s="287"/>
      <c r="BR382" s="287"/>
      <c r="BS382" s="287"/>
      <c r="BT382" s="287">
        <v>1.3</v>
      </c>
      <c r="BU382" s="287"/>
      <c r="BV382" s="287"/>
      <c r="BW382" s="287"/>
      <c r="BX382" s="286"/>
      <c r="BY382" s="289"/>
      <c r="BZ382" s="289">
        <v>1.3</v>
      </c>
      <c r="CA382" s="289"/>
      <c r="CB382" s="289"/>
      <c r="CC382" s="289"/>
      <c r="CD382" s="289"/>
      <c r="CE382" s="289"/>
      <c r="CF382" s="289"/>
      <c r="CG382" s="287"/>
      <c r="CH382" s="287"/>
      <c r="CI382" s="287"/>
      <c r="CJ382" s="287"/>
      <c r="CK382" s="287"/>
      <c r="CL382" s="287"/>
      <c r="CM382" s="287"/>
      <c r="CN382" s="287"/>
      <c r="CO382" s="287"/>
      <c r="CP382" s="287"/>
      <c r="CQ382" s="287"/>
      <c r="CR382" s="287"/>
      <c r="CS382" s="6"/>
      <c r="CT382" s="6"/>
      <c r="CU382" s="6"/>
      <c r="CV382" s="6"/>
      <c r="CW382" s="6"/>
      <c r="CX382" s="6"/>
      <c r="CY382" s="6"/>
      <c r="CZ382" s="6"/>
      <c r="DA382" s="343">
        <f t="shared" si="14"/>
        <v>1.0833333333333333</v>
      </c>
    </row>
    <row r="383" spans="1:105" ht="20" customHeight="1" x14ac:dyDescent="0.35">
      <c r="A383" s="290"/>
      <c r="B383" s="270" t="s">
        <v>948</v>
      </c>
      <c r="C383" s="270" t="s">
        <v>685</v>
      </c>
      <c r="D383" s="297" t="s">
        <v>632</v>
      </c>
      <c r="E383" s="270" t="s">
        <v>411</v>
      </c>
      <c r="F383" s="270" t="s">
        <v>1849</v>
      </c>
      <c r="G383" s="270" t="s">
        <v>36</v>
      </c>
      <c r="H383" s="298">
        <f>50.5*1.09</f>
        <v>55.045000000000002</v>
      </c>
      <c r="I383" s="292">
        <v>59</v>
      </c>
      <c r="J383" s="286"/>
      <c r="K383" s="286"/>
      <c r="L383" s="286"/>
      <c r="M383" s="286"/>
      <c r="N383" s="286"/>
      <c r="O383" s="286"/>
      <c r="P383" s="292">
        <v>58</v>
      </c>
      <c r="Q383" s="286"/>
      <c r="R383" s="286"/>
      <c r="S383" s="286"/>
      <c r="T383" s="286"/>
      <c r="U383" s="286"/>
      <c r="V383" s="294"/>
      <c r="W383" s="286"/>
      <c r="X383" s="286"/>
      <c r="Y383" s="286"/>
      <c r="Z383" s="286"/>
      <c r="AA383" s="286"/>
      <c r="AB383" s="286"/>
      <c r="AC383" s="286"/>
      <c r="AD383" s="286"/>
      <c r="AE383" s="286"/>
      <c r="AF383" s="286"/>
      <c r="AG383" s="286"/>
      <c r="AH383" s="286"/>
      <c r="AI383" s="286"/>
      <c r="AJ383" s="286"/>
      <c r="AK383" s="295">
        <v>58</v>
      </c>
      <c r="AL383" s="288"/>
      <c r="AM383" s="287"/>
      <c r="AN383" s="287"/>
      <c r="AO383" s="287"/>
      <c r="AP383" s="286"/>
      <c r="AQ383" s="296"/>
      <c r="AR383" s="286"/>
      <c r="AS383" s="286"/>
      <c r="AT383" s="286"/>
      <c r="AU383" s="286"/>
      <c r="AV383" s="286"/>
      <c r="AW383" s="286"/>
      <c r="AX383" s="286"/>
      <c r="AY383" s="286"/>
      <c r="AZ383" s="286"/>
      <c r="BA383" s="286"/>
      <c r="BB383" s="286"/>
      <c r="BC383" s="286"/>
      <c r="BD383" s="287"/>
      <c r="BE383" s="287"/>
      <c r="BF383" s="287"/>
      <c r="BG383" s="288">
        <v>58</v>
      </c>
      <c r="BH383" s="287"/>
      <c r="BI383" s="287"/>
      <c r="BJ383" s="287"/>
      <c r="BK383" s="287"/>
      <c r="BL383" s="287"/>
      <c r="BM383" s="287"/>
      <c r="BN383" s="287"/>
      <c r="BO383" s="287"/>
      <c r="BP383" s="287"/>
      <c r="BQ383" s="287"/>
      <c r="BR383" s="287"/>
      <c r="BS383" s="287"/>
      <c r="BT383" s="287"/>
      <c r="BU383" s="287"/>
      <c r="BV383" s="287"/>
      <c r="BW383" s="287"/>
      <c r="BX383" s="286"/>
      <c r="BY383" s="289">
        <v>58</v>
      </c>
      <c r="BZ383" s="289"/>
      <c r="CA383" s="289"/>
      <c r="CB383" s="289">
        <v>61</v>
      </c>
      <c r="CC383" s="289"/>
      <c r="CD383" s="289"/>
      <c r="CE383" s="289"/>
      <c r="CF383" s="289"/>
      <c r="CG383" s="287"/>
      <c r="CH383" s="287"/>
      <c r="CI383" s="287"/>
      <c r="CJ383" s="287"/>
      <c r="CK383" s="287"/>
      <c r="CL383" s="287"/>
      <c r="CM383" s="287"/>
      <c r="CN383" s="287"/>
      <c r="CO383" s="287"/>
      <c r="CP383" s="287"/>
      <c r="CQ383" s="287">
        <v>59</v>
      </c>
      <c r="CR383" s="287"/>
      <c r="CS383" s="296">
        <v>59</v>
      </c>
      <c r="CT383" s="6"/>
      <c r="CU383" s="6"/>
      <c r="CV383" s="6"/>
      <c r="CW383" s="6"/>
      <c r="CX383" s="6"/>
      <c r="CY383" s="6"/>
      <c r="CZ383" s="6"/>
      <c r="DA383" s="343">
        <f t="shared" si="14"/>
        <v>55.045000000000002</v>
      </c>
    </row>
    <row r="384" spans="1:105" ht="20" customHeight="1" x14ac:dyDescent="0.35">
      <c r="A384" s="290"/>
      <c r="B384" s="270" t="s">
        <v>949</v>
      </c>
      <c r="C384" s="270" t="s">
        <v>685</v>
      </c>
      <c r="D384" s="297" t="s">
        <v>632</v>
      </c>
      <c r="E384" s="270" t="s">
        <v>411</v>
      </c>
      <c r="F384" s="270" t="s">
        <v>1850</v>
      </c>
      <c r="G384" s="270" t="s">
        <v>36</v>
      </c>
      <c r="H384" s="298">
        <f>H383/48</f>
        <v>1.1467708333333333</v>
      </c>
      <c r="I384" s="292">
        <v>0</v>
      </c>
      <c r="J384" s="286"/>
      <c r="K384" s="286"/>
      <c r="L384" s="286"/>
      <c r="M384" s="286"/>
      <c r="N384" s="286"/>
      <c r="O384" s="286"/>
      <c r="P384" s="286"/>
      <c r="Q384" s="286"/>
      <c r="R384" s="286"/>
      <c r="S384" s="286"/>
      <c r="T384" s="286"/>
      <c r="U384" s="286"/>
      <c r="V384" s="294"/>
      <c r="W384" s="286"/>
      <c r="X384" s="286"/>
      <c r="Y384" s="286"/>
      <c r="Z384" s="286"/>
      <c r="AA384" s="286"/>
      <c r="AB384" s="286"/>
      <c r="AC384" s="286"/>
      <c r="AD384" s="286"/>
      <c r="AE384" s="286"/>
      <c r="AF384" s="286"/>
      <c r="AG384" s="286"/>
      <c r="AH384" s="286"/>
      <c r="AI384" s="286"/>
      <c r="AJ384" s="286"/>
      <c r="AK384" s="287"/>
      <c r="AL384" s="288"/>
      <c r="AM384" s="287"/>
      <c r="AN384" s="287"/>
      <c r="AO384" s="287"/>
      <c r="AP384" s="286"/>
      <c r="AQ384" s="296"/>
      <c r="AR384" s="286"/>
      <c r="AS384" s="286"/>
      <c r="AT384" s="286"/>
      <c r="AU384" s="286"/>
      <c r="AV384" s="286"/>
      <c r="AW384" s="286"/>
      <c r="AX384" s="286"/>
      <c r="AY384" s="286"/>
      <c r="AZ384" s="286"/>
      <c r="BA384" s="286"/>
      <c r="BB384" s="286"/>
      <c r="BC384" s="286"/>
      <c r="BD384" s="287"/>
      <c r="BE384" s="287"/>
      <c r="BF384" s="287"/>
      <c r="BG384" s="288">
        <v>1.3</v>
      </c>
      <c r="BH384" s="287"/>
      <c r="BI384" s="287"/>
      <c r="BJ384" s="287"/>
      <c r="BK384" s="287"/>
      <c r="BL384" s="287"/>
      <c r="BM384" s="287"/>
      <c r="BN384" s="287"/>
      <c r="BO384" s="287"/>
      <c r="BP384" s="287"/>
      <c r="BQ384" s="287"/>
      <c r="BR384" s="287"/>
      <c r="BS384" s="287"/>
      <c r="BT384" s="287"/>
      <c r="BU384" s="287"/>
      <c r="BV384" s="287"/>
      <c r="BW384" s="287"/>
      <c r="BX384" s="286"/>
      <c r="BY384" s="289"/>
      <c r="BZ384" s="289"/>
      <c r="CA384" s="289"/>
      <c r="CB384" s="289"/>
      <c r="CC384" s="289"/>
      <c r="CD384" s="289"/>
      <c r="CE384" s="289"/>
      <c r="CF384" s="289"/>
      <c r="CG384" s="287"/>
      <c r="CH384" s="287"/>
      <c r="CI384" s="287"/>
      <c r="CJ384" s="287"/>
      <c r="CK384" s="287"/>
      <c r="CL384" s="287"/>
      <c r="CM384" s="287"/>
      <c r="CN384" s="287"/>
      <c r="CO384" s="287"/>
      <c r="CP384" s="287"/>
      <c r="CQ384" s="287"/>
      <c r="CR384" s="287"/>
      <c r="CS384" s="6"/>
      <c r="CT384" s="6"/>
      <c r="CU384" s="6"/>
      <c r="CV384" s="6"/>
      <c r="CW384" s="6"/>
      <c r="CX384" s="6"/>
      <c r="CY384" s="6"/>
      <c r="CZ384" s="6"/>
      <c r="DA384" s="343">
        <f t="shared" si="14"/>
        <v>1.1467708333333333</v>
      </c>
    </row>
    <row r="385" spans="1:105" ht="20" customHeight="1" x14ac:dyDescent="0.35">
      <c r="A385" s="290"/>
      <c r="B385" s="270" t="s">
        <v>951</v>
      </c>
      <c r="C385" s="270" t="s">
        <v>950</v>
      </c>
      <c r="D385" s="297" t="s">
        <v>632</v>
      </c>
      <c r="E385" s="270" t="s">
        <v>416</v>
      </c>
      <c r="F385" s="270" t="s">
        <v>1845</v>
      </c>
      <c r="G385" s="270" t="s">
        <v>36</v>
      </c>
      <c r="H385" s="298">
        <f>42.5*1.09</f>
        <v>46.325000000000003</v>
      </c>
      <c r="I385" s="292">
        <v>51</v>
      </c>
      <c r="J385" s="286"/>
      <c r="K385" s="286"/>
      <c r="L385" s="286"/>
      <c r="M385" s="286"/>
      <c r="N385" s="286"/>
      <c r="O385" s="286"/>
      <c r="P385" s="292">
        <v>48</v>
      </c>
      <c r="Q385" s="286"/>
      <c r="R385" s="286">
        <v>51</v>
      </c>
      <c r="S385" s="286"/>
      <c r="T385" s="286"/>
      <c r="U385" s="286"/>
      <c r="V385" s="294"/>
      <c r="W385" s="286"/>
      <c r="X385" s="286"/>
      <c r="Y385" s="286"/>
      <c r="Z385" s="286"/>
      <c r="AA385" s="286"/>
      <c r="AB385" s="286"/>
      <c r="AC385" s="286"/>
      <c r="AD385" s="286"/>
      <c r="AE385" s="286"/>
      <c r="AF385" s="286"/>
      <c r="AG385" s="286"/>
      <c r="AH385" s="286"/>
      <c r="AI385" s="286"/>
      <c r="AJ385" s="286"/>
      <c r="AK385" s="295">
        <v>51</v>
      </c>
      <c r="AL385" s="288"/>
      <c r="AM385" s="287"/>
      <c r="AN385" s="287"/>
      <c r="AO385" s="287"/>
      <c r="AP385" s="286"/>
      <c r="AQ385" s="296"/>
      <c r="AR385" s="286"/>
      <c r="AS385" s="286"/>
      <c r="AT385" s="286"/>
      <c r="AU385" s="286"/>
      <c r="AV385" s="286"/>
      <c r="AW385" s="286"/>
      <c r="AX385" s="286"/>
      <c r="AY385" s="286"/>
      <c r="AZ385" s="286"/>
      <c r="BA385" s="286"/>
      <c r="BB385" s="286"/>
      <c r="BC385" s="286"/>
      <c r="BD385" s="287"/>
      <c r="BE385" s="287"/>
      <c r="BF385" s="287"/>
      <c r="BG385" s="288">
        <v>51</v>
      </c>
      <c r="BH385" s="287">
        <v>51</v>
      </c>
      <c r="BI385" s="287">
        <v>51</v>
      </c>
      <c r="BJ385" s="287"/>
      <c r="BK385" s="287"/>
      <c r="BL385" s="287"/>
      <c r="BM385" s="287"/>
      <c r="BN385" s="287"/>
      <c r="BO385" s="287"/>
      <c r="BP385" s="287"/>
      <c r="BQ385" s="287"/>
      <c r="BR385" s="287"/>
      <c r="BS385" s="287"/>
      <c r="BT385" s="287">
        <v>51</v>
      </c>
      <c r="BU385" s="287"/>
      <c r="BV385" s="287"/>
      <c r="BW385" s="287"/>
      <c r="BX385" s="286"/>
      <c r="BY385" s="289"/>
      <c r="BZ385" s="289">
        <v>51</v>
      </c>
      <c r="CA385" s="289"/>
      <c r="CB385" s="289">
        <v>51</v>
      </c>
      <c r="CC385" s="289"/>
      <c r="CD385" s="289"/>
      <c r="CE385" s="289"/>
      <c r="CF385" s="289"/>
      <c r="CG385" s="287"/>
      <c r="CH385" s="287"/>
      <c r="CI385" s="287"/>
      <c r="CJ385" s="287"/>
      <c r="CK385" s="287"/>
      <c r="CL385" s="287"/>
      <c r="CM385" s="287"/>
      <c r="CN385" s="287"/>
      <c r="CO385" s="287"/>
      <c r="CP385" s="287"/>
      <c r="CQ385" s="287">
        <v>50</v>
      </c>
      <c r="CR385" s="287"/>
      <c r="CS385" s="296">
        <v>51</v>
      </c>
      <c r="CT385" s="6"/>
      <c r="CU385" s="6"/>
      <c r="CV385" s="6"/>
      <c r="CW385" s="6"/>
      <c r="CX385" s="6"/>
      <c r="CY385" s="6"/>
      <c r="CZ385" s="6"/>
      <c r="DA385" s="343">
        <f t="shared" si="14"/>
        <v>46.325000000000003</v>
      </c>
    </row>
    <row r="386" spans="1:105" ht="20" customHeight="1" x14ac:dyDescent="0.35">
      <c r="A386" s="290"/>
      <c r="B386" s="270" t="s">
        <v>952</v>
      </c>
      <c r="C386" s="270" t="s">
        <v>950</v>
      </c>
      <c r="D386" s="297" t="s">
        <v>632</v>
      </c>
      <c r="E386" s="270" t="s">
        <v>416</v>
      </c>
      <c r="F386" s="270" t="s">
        <v>1846</v>
      </c>
      <c r="G386" s="270" t="s">
        <v>42</v>
      </c>
      <c r="H386" s="298">
        <f>H385/48</f>
        <v>0.96510416666666676</v>
      </c>
      <c r="I386" s="292">
        <v>0</v>
      </c>
      <c r="J386" s="286"/>
      <c r="K386" s="286"/>
      <c r="L386" s="286"/>
      <c r="M386" s="286"/>
      <c r="N386" s="286"/>
      <c r="O386" s="286"/>
      <c r="P386" s="286"/>
      <c r="Q386" s="286"/>
      <c r="R386" s="286"/>
      <c r="S386" s="286"/>
      <c r="T386" s="286"/>
      <c r="U386" s="289"/>
      <c r="V386" s="294"/>
      <c r="W386" s="286"/>
      <c r="X386" s="286"/>
      <c r="Y386" s="286"/>
      <c r="Z386" s="286"/>
      <c r="AA386" s="286"/>
      <c r="AB386" s="286"/>
      <c r="AC386" s="286"/>
      <c r="AD386" s="286"/>
      <c r="AE386" s="286"/>
      <c r="AF386" s="286"/>
      <c r="AG386" s="286"/>
      <c r="AH386" s="286"/>
      <c r="AI386" s="286"/>
      <c r="AJ386" s="286"/>
      <c r="AK386" s="287"/>
      <c r="AL386" s="288"/>
      <c r="AM386" s="287"/>
      <c r="AN386" s="287"/>
      <c r="AO386" s="287"/>
      <c r="AP386" s="286"/>
      <c r="AQ386" s="296"/>
      <c r="AR386" s="286"/>
      <c r="AS386" s="286"/>
      <c r="AT386" s="286"/>
      <c r="AU386" s="286"/>
      <c r="AV386" s="286"/>
      <c r="AW386" s="286"/>
      <c r="AX386" s="286"/>
      <c r="AY386" s="286"/>
      <c r="AZ386" s="286"/>
      <c r="BA386" s="286"/>
      <c r="BB386" s="286"/>
      <c r="BC386" s="286"/>
      <c r="BD386" s="287"/>
      <c r="BE386" s="287"/>
      <c r="BF386" s="287"/>
      <c r="BG386" s="288">
        <v>1.2</v>
      </c>
      <c r="BH386" s="287"/>
      <c r="BI386" s="287"/>
      <c r="BJ386" s="287"/>
      <c r="BK386" s="287"/>
      <c r="BL386" s="287"/>
      <c r="BM386" s="287"/>
      <c r="BN386" s="287"/>
      <c r="BO386" s="287"/>
      <c r="BP386" s="287"/>
      <c r="BQ386" s="287"/>
      <c r="BR386" s="287"/>
      <c r="BS386" s="287"/>
      <c r="BT386" s="287"/>
      <c r="BU386" s="287"/>
      <c r="BV386" s="287"/>
      <c r="BW386" s="287"/>
      <c r="BX386" s="286"/>
      <c r="BY386" s="289"/>
      <c r="BZ386" s="289"/>
      <c r="CA386" s="289"/>
      <c r="CB386" s="289">
        <v>1.2</v>
      </c>
      <c r="CC386" s="289"/>
      <c r="CD386" s="289"/>
      <c r="CE386" s="289"/>
      <c r="CF386" s="289"/>
      <c r="CG386" s="287"/>
      <c r="CH386" s="287"/>
      <c r="CI386" s="287"/>
      <c r="CJ386" s="287"/>
      <c r="CK386" s="287"/>
      <c r="CL386" s="287"/>
      <c r="CM386" s="287"/>
      <c r="CN386" s="287"/>
      <c r="CO386" s="287"/>
      <c r="CP386" s="287"/>
      <c r="CQ386" s="287"/>
      <c r="CR386" s="287"/>
      <c r="CS386" s="6"/>
      <c r="CT386" s="6"/>
      <c r="CU386" s="6"/>
      <c r="CV386" s="6"/>
      <c r="CW386" s="6"/>
      <c r="CX386" s="6"/>
      <c r="CY386" s="6"/>
      <c r="CZ386" s="6"/>
      <c r="DA386" s="343">
        <f t="shared" si="14"/>
        <v>0.96510416666666676</v>
      </c>
    </row>
    <row r="387" spans="1:105" ht="20" customHeight="1" x14ac:dyDescent="0.35">
      <c r="A387" s="290"/>
      <c r="B387" s="270" t="s">
        <v>953</v>
      </c>
      <c r="C387" s="270" t="s">
        <v>1438</v>
      </c>
      <c r="D387" s="297" t="s">
        <v>604</v>
      </c>
      <c r="E387" s="270" t="s">
        <v>411</v>
      </c>
      <c r="F387" s="270" t="s">
        <v>629</v>
      </c>
      <c r="G387" s="270" t="s">
        <v>36</v>
      </c>
      <c r="H387" s="298"/>
      <c r="I387" s="292"/>
      <c r="J387" s="286"/>
      <c r="K387" s="286"/>
      <c r="L387" s="286"/>
      <c r="M387" s="286"/>
      <c r="N387" s="286"/>
      <c r="O387" s="286"/>
      <c r="P387" s="286"/>
      <c r="Q387" s="286"/>
      <c r="R387" s="286"/>
      <c r="S387" s="286"/>
      <c r="T387" s="286"/>
      <c r="U387" s="286"/>
      <c r="V387" s="286"/>
      <c r="W387" s="286"/>
      <c r="X387" s="286"/>
      <c r="Y387" s="286"/>
      <c r="Z387" s="286"/>
      <c r="AA387" s="286"/>
      <c r="AB387" s="286"/>
      <c r="AC387" s="286"/>
      <c r="AD387" s="286"/>
      <c r="AE387" s="286"/>
      <c r="AF387" s="286"/>
      <c r="AG387" s="286"/>
      <c r="AH387" s="286"/>
      <c r="AI387" s="286"/>
      <c r="AJ387" s="286"/>
      <c r="AK387" s="287"/>
      <c r="AL387" s="288"/>
      <c r="AM387" s="287"/>
      <c r="AN387" s="287"/>
      <c r="AO387" s="287"/>
      <c r="AP387" s="286"/>
      <c r="AQ387" s="296"/>
      <c r="AR387" s="286"/>
      <c r="AS387" s="286"/>
      <c r="AT387" s="286"/>
      <c r="AU387" s="286"/>
      <c r="AV387" s="286"/>
      <c r="AW387" s="286"/>
      <c r="AX387" s="286"/>
      <c r="AY387" s="286"/>
      <c r="AZ387" s="286"/>
      <c r="BA387" s="286"/>
      <c r="BB387" s="286"/>
      <c r="BC387" s="286"/>
      <c r="BD387" s="287"/>
      <c r="BE387" s="287"/>
      <c r="BF387" s="287"/>
      <c r="BG387" s="287"/>
      <c r="BH387" s="287"/>
      <c r="BI387" s="287"/>
      <c r="BJ387" s="287"/>
      <c r="BK387" s="287"/>
      <c r="BL387" s="287"/>
      <c r="BM387" s="287"/>
      <c r="BN387" s="287"/>
      <c r="BO387" s="287"/>
      <c r="BP387" s="287"/>
      <c r="BQ387" s="287"/>
      <c r="BR387" s="287"/>
      <c r="BS387" s="287"/>
      <c r="BT387" s="287"/>
      <c r="BU387" s="287"/>
      <c r="BV387" s="287"/>
      <c r="BW387" s="287"/>
      <c r="BX387" s="286"/>
      <c r="BY387" s="289"/>
      <c r="BZ387" s="289"/>
      <c r="CA387" s="289"/>
      <c r="CB387" s="289"/>
      <c r="CC387" s="289"/>
      <c r="CD387" s="289"/>
      <c r="CE387" s="289"/>
      <c r="CF387" s="289"/>
      <c r="CG387" s="287"/>
      <c r="CH387" s="287"/>
      <c r="CI387" s="287"/>
      <c r="CJ387" s="287"/>
      <c r="CK387" s="287"/>
      <c r="CL387" s="287"/>
      <c r="CM387" s="287"/>
      <c r="CN387" s="287"/>
      <c r="CO387" s="287"/>
      <c r="CP387" s="287"/>
      <c r="CQ387" s="287"/>
      <c r="CR387" s="287"/>
      <c r="CS387" s="6"/>
      <c r="CT387" s="6"/>
      <c r="CU387" s="6"/>
      <c r="CV387" s="6"/>
      <c r="CW387" s="6"/>
      <c r="CX387" s="6"/>
      <c r="CY387" s="6"/>
      <c r="CZ387" s="6"/>
      <c r="DA387" s="343">
        <f t="shared" si="14"/>
        <v>0</v>
      </c>
    </row>
    <row r="388" spans="1:105" ht="20" customHeight="1" x14ac:dyDescent="0.35">
      <c r="A388" s="290"/>
      <c r="B388" s="270" t="s">
        <v>954</v>
      </c>
      <c r="C388" s="270" t="s">
        <v>426</v>
      </c>
      <c r="D388" s="297" t="s">
        <v>604</v>
      </c>
      <c r="E388" s="270" t="s">
        <v>427</v>
      </c>
      <c r="F388" s="270" t="s">
        <v>629</v>
      </c>
      <c r="G388" s="270" t="s">
        <v>36</v>
      </c>
      <c r="H388" s="298"/>
      <c r="I388" s="292"/>
      <c r="J388" s="286"/>
      <c r="K388" s="286"/>
      <c r="L388" s="286"/>
      <c r="M388" s="286"/>
      <c r="N388" s="286"/>
      <c r="O388" s="286"/>
      <c r="P388" s="286"/>
      <c r="Q388" s="286"/>
      <c r="R388" s="286"/>
      <c r="S388" s="286"/>
      <c r="T388" s="286"/>
      <c r="U388" s="286"/>
      <c r="V388" s="286"/>
      <c r="W388" s="286"/>
      <c r="X388" s="286"/>
      <c r="Y388" s="286"/>
      <c r="Z388" s="286"/>
      <c r="AA388" s="286"/>
      <c r="AB388" s="286"/>
      <c r="AC388" s="286"/>
      <c r="AD388" s="286"/>
      <c r="AE388" s="286"/>
      <c r="AF388" s="286"/>
      <c r="AG388" s="286"/>
      <c r="AH388" s="286"/>
      <c r="AI388" s="286"/>
      <c r="AJ388" s="286"/>
      <c r="AK388" s="287"/>
      <c r="AL388" s="288"/>
      <c r="AM388" s="287"/>
      <c r="AN388" s="287"/>
      <c r="AO388" s="287"/>
      <c r="AP388" s="286"/>
      <c r="AQ388" s="296"/>
      <c r="AR388" s="286"/>
      <c r="AS388" s="286"/>
      <c r="AT388" s="286"/>
      <c r="AU388" s="286"/>
      <c r="AV388" s="286"/>
      <c r="AW388" s="286"/>
      <c r="AX388" s="286"/>
      <c r="AY388" s="286"/>
      <c r="AZ388" s="286"/>
      <c r="BA388" s="286"/>
      <c r="BB388" s="286"/>
      <c r="BC388" s="286"/>
      <c r="BD388" s="287"/>
      <c r="BE388" s="287"/>
      <c r="BF388" s="287"/>
      <c r="BG388" s="287"/>
      <c r="BH388" s="287"/>
      <c r="BI388" s="287"/>
      <c r="BJ388" s="287"/>
      <c r="BK388" s="287"/>
      <c r="BL388" s="287"/>
      <c r="BM388" s="287"/>
      <c r="BN388" s="287"/>
      <c r="BO388" s="287"/>
      <c r="BP388" s="287"/>
      <c r="BQ388" s="287"/>
      <c r="BR388" s="287"/>
      <c r="BS388" s="287"/>
      <c r="BT388" s="287"/>
      <c r="BU388" s="287"/>
      <c r="BV388" s="287"/>
      <c r="BW388" s="287"/>
      <c r="BX388" s="286"/>
      <c r="BY388" s="289"/>
      <c r="BZ388" s="289"/>
      <c r="CA388" s="289"/>
      <c r="CB388" s="289"/>
      <c r="CC388" s="289"/>
      <c r="CD388" s="289"/>
      <c r="CE388" s="289"/>
      <c r="CF388" s="289"/>
      <c r="CG388" s="287"/>
      <c r="CH388" s="287"/>
      <c r="CI388" s="287"/>
      <c r="CJ388" s="287"/>
      <c r="CK388" s="287"/>
      <c r="CL388" s="287"/>
      <c r="CM388" s="287"/>
      <c r="CN388" s="287"/>
      <c r="CO388" s="287"/>
      <c r="CP388" s="287"/>
      <c r="CQ388" s="287"/>
      <c r="CR388" s="287"/>
      <c r="CS388" s="6"/>
      <c r="CT388" s="6"/>
      <c r="CU388" s="6"/>
      <c r="CV388" s="6"/>
      <c r="CW388" s="6"/>
      <c r="CX388" s="6"/>
      <c r="CY388" s="6"/>
      <c r="CZ388" s="6"/>
      <c r="DA388" s="343">
        <f t="shared" si="14"/>
        <v>0</v>
      </c>
    </row>
    <row r="389" spans="1:105" ht="20" customHeight="1" x14ac:dyDescent="0.35">
      <c r="A389" s="301"/>
      <c r="B389" s="270" t="s">
        <v>955</v>
      </c>
      <c r="C389" s="270" t="s">
        <v>1439</v>
      </c>
      <c r="D389" s="270"/>
      <c r="E389" s="270" t="s">
        <v>533</v>
      </c>
      <c r="F389" s="270" t="s">
        <v>534</v>
      </c>
      <c r="G389" s="270" t="s">
        <v>36</v>
      </c>
      <c r="H389" s="298"/>
      <c r="I389" s="286"/>
      <c r="J389" s="286"/>
      <c r="K389" s="286"/>
      <c r="L389" s="286"/>
      <c r="M389" s="286"/>
      <c r="N389" s="286"/>
      <c r="O389" s="286"/>
      <c r="P389" s="286"/>
      <c r="Q389" s="286"/>
      <c r="R389" s="286">
        <v>66</v>
      </c>
      <c r="S389" s="286"/>
      <c r="T389" s="286"/>
      <c r="U389" s="286"/>
      <c r="V389" s="286"/>
      <c r="W389" s="286"/>
      <c r="X389" s="286"/>
      <c r="Y389" s="286"/>
      <c r="Z389" s="286"/>
      <c r="AA389" s="286"/>
      <c r="AB389" s="286"/>
      <c r="AC389" s="286"/>
      <c r="AD389" s="286"/>
      <c r="AE389" s="286"/>
      <c r="AF389" s="286"/>
      <c r="AG389" s="286"/>
      <c r="AH389" s="286"/>
      <c r="AI389" s="286"/>
      <c r="AJ389" s="286"/>
      <c r="AK389" s="287"/>
      <c r="AL389" s="288"/>
      <c r="AM389" s="287"/>
      <c r="AN389" s="287"/>
      <c r="AO389" s="287"/>
      <c r="AP389" s="286"/>
      <c r="AQ389" s="296"/>
      <c r="AR389" s="286"/>
      <c r="AS389" s="286"/>
      <c r="AT389" s="286"/>
      <c r="AU389" s="286"/>
      <c r="AV389" s="286"/>
      <c r="AW389" s="286"/>
      <c r="AX389" s="286"/>
      <c r="AY389" s="286"/>
      <c r="AZ389" s="286"/>
      <c r="BA389" s="286"/>
      <c r="BB389" s="286"/>
      <c r="BC389" s="286"/>
      <c r="BD389" s="287"/>
      <c r="BE389" s="287"/>
      <c r="BF389" s="287"/>
      <c r="BG389" s="287"/>
      <c r="BH389" s="287"/>
      <c r="BI389" s="287">
        <v>66</v>
      </c>
      <c r="BJ389" s="287"/>
      <c r="BK389" s="287"/>
      <c r="BL389" s="287"/>
      <c r="BM389" s="287"/>
      <c r="BN389" s="287"/>
      <c r="BO389" s="287"/>
      <c r="BP389" s="287"/>
      <c r="BQ389" s="287"/>
      <c r="BR389" s="287"/>
      <c r="BS389" s="287"/>
      <c r="BT389" s="287"/>
      <c r="BU389" s="287"/>
      <c r="BV389" s="287"/>
      <c r="BW389" s="287"/>
      <c r="BX389" s="286"/>
      <c r="BY389" s="289"/>
      <c r="BZ389" s="289"/>
      <c r="CA389" s="289"/>
      <c r="CB389" s="289"/>
      <c r="CC389" s="289"/>
      <c r="CD389" s="289"/>
      <c r="CE389" s="289"/>
      <c r="CF389" s="289"/>
      <c r="CG389" s="287"/>
      <c r="CH389" s="287"/>
      <c r="CI389" s="287"/>
      <c r="CJ389" s="287"/>
      <c r="CK389" s="287"/>
      <c r="CL389" s="287"/>
      <c r="CM389" s="287"/>
      <c r="CN389" s="287"/>
      <c r="CO389" s="287"/>
      <c r="CP389" s="287"/>
      <c r="CQ389" s="287"/>
      <c r="CR389" s="287"/>
      <c r="CS389" s="6"/>
      <c r="CT389" s="6"/>
      <c r="CU389" s="6"/>
      <c r="CV389" s="6"/>
      <c r="CW389" s="6"/>
      <c r="CX389" s="6"/>
      <c r="CY389" s="6"/>
      <c r="CZ389" s="6"/>
      <c r="DA389" s="343">
        <f t="shared" si="14"/>
        <v>0</v>
      </c>
    </row>
    <row r="390" spans="1:105" ht="20" customHeight="1" x14ac:dyDescent="0.35">
      <c r="A390" s="290"/>
      <c r="B390" s="270" t="s">
        <v>956</v>
      </c>
      <c r="C390" s="270" t="s">
        <v>1440</v>
      </c>
      <c r="D390" s="297" t="s">
        <v>630</v>
      </c>
      <c r="E390" s="270" t="s">
        <v>511</v>
      </c>
      <c r="F390" s="270" t="s">
        <v>1844</v>
      </c>
      <c r="G390" s="270" t="s">
        <v>36</v>
      </c>
      <c r="H390" s="298">
        <v>21</v>
      </c>
      <c r="I390" s="292">
        <v>30</v>
      </c>
      <c r="J390" s="292">
        <v>32</v>
      </c>
      <c r="K390" s="286"/>
      <c r="L390" s="286">
        <v>32</v>
      </c>
      <c r="M390" s="286"/>
      <c r="N390" s="286"/>
      <c r="O390" s="286"/>
      <c r="P390" s="292">
        <v>30</v>
      </c>
      <c r="Q390" s="286">
        <v>32</v>
      </c>
      <c r="R390" s="286">
        <v>30</v>
      </c>
      <c r="S390" s="286">
        <v>32</v>
      </c>
      <c r="T390" s="286">
        <v>32</v>
      </c>
      <c r="U390" s="286"/>
      <c r="V390" s="294"/>
      <c r="W390" s="286"/>
      <c r="X390" s="286"/>
      <c r="Y390" s="286"/>
      <c r="Z390" s="286"/>
      <c r="AA390" s="286"/>
      <c r="AB390" s="286"/>
      <c r="AC390" s="286"/>
      <c r="AD390" s="286"/>
      <c r="AE390" s="286"/>
      <c r="AF390" s="286"/>
      <c r="AG390" s="286"/>
      <c r="AH390" s="286"/>
      <c r="AI390" s="286">
        <v>32</v>
      </c>
      <c r="AJ390" s="286"/>
      <c r="AK390" s="295">
        <v>30</v>
      </c>
      <c r="AL390" s="288">
        <v>32</v>
      </c>
      <c r="AM390" s="287">
        <v>28</v>
      </c>
      <c r="AN390" s="287"/>
      <c r="AO390" s="289">
        <v>32</v>
      </c>
      <c r="AP390" s="286">
        <v>32</v>
      </c>
      <c r="AQ390" s="296">
        <v>32</v>
      </c>
      <c r="AR390" s="286">
        <v>32</v>
      </c>
      <c r="AS390" s="286"/>
      <c r="AT390" s="286">
        <v>32</v>
      </c>
      <c r="AU390" s="286">
        <v>32</v>
      </c>
      <c r="AV390" s="286">
        <v>32</v>
      </c>
      <c r="AW390" s="286">
        <v>32</v>
      </c>
      <c r="AX390" s="286">
        <v>32</v>
      </c>
      <c r="AY390" s="286">
        <v>32</v>
      </c>
      <c r="AZ390" s="286">
        <v>32</v>
      </c>
      <c r="BA390" s="286">
        <v>32</v>
      </c>
      <c r="BB390" s="286">
        <f>BA390</f>
        <v>32</v>
      </c>
      <c r="BC390" s="286">
        <v>32</v>
      </c>
      <c r="BD390" s="287"/>
      <c r="BE390" s="287"/>
      <c r="BF390" s="287"/>
      <c r="BG390" s="288">
        <v>30</v>
      </c>
      <c r="BH390" s="287"/>
      <c r="BI390" s="287"/>
      <c r="BJ390" s="287"/>
      <c r="BK390" s="287"/>
      <c r="BL390" s="287"/>
      <c r="BM390" s="287"/>
      <c r="BN390" s="287"/>
      <c r="BO390" s="287"/>
      <c r="BP390" s="287"/>
      <c r="BQ390" s="287"/>
      <c r="BR390" s="287"/>
      <c r="BS390" s="287"/>
      <c r="BT390" s="287"/>
      <c r="BU390" s="287"/>
      <c r="BV390" s="287"/>
      <c r="BW390" s="287"/>
      <c r="BX390" s="286">
        <f>J390</f>
        <v>32</v>
      </c>
      <c r="BY390" s="289"/>
      <c r="BZ390" s="289">
        <v>32</v>
      </c>
      <c r="CA390" s="289"/>
      <c r="CB390" s="289"/>
      <c r="CC390" s="289"/>
      <c r="CD390" s="289"/>
      <c r="CE390" s="289"/>
      <c r="CF390" s="289"/>
      <c r="CG390" s="287"/>
      <c r="CH390" s="287"/>
      <c r="CI390" s="287"/>
      <c r="CJ390" s="287"/>
      <c r="CK390" s="287"/>
      <c r="CL390" s="287"/>
      <c r="CM390" s="292">
        <v>32</v>
      </c>
      <c r="CN390" s="292">
        <v>32</v>
      </c>
      <c r="CO390" s="292">
        <v>32</v>
      </c>
      <c r="CP390" s="287"/>
      <c r="CQ390" s="287">
        <v>30</v>
      </c>
      <c r="CR390" s="287">
        <v>26</v>
      </c>
      <c r="CS390" s="296">
        <v>30</v>
      </c>
      <c r="CT390" s="6"/>
      <c r="CU390" s="6"/>
      <c r="CV390" s="6"/>
      <c r="CW390" s="6"/>
      <c r="CX390" s="6"/>
      <c r="CY390" s="6"/>
      <c r="CZ390" s="6"/>
      <c r="DA390" s="343">
        <f t="shared" si="14"/>
        <v>21</v>
      </c>
    </row>
    <row r="391" spans="1:105" ht="20" customHeight="1" x14ac:dyDescent="0.35">
      <c r="A391" s="290"/>
      <c r="B391" s="270" t="s">
        <v>957</v>
      </c>
      <c r="C391" s="270" t="s">
        <v>220</v>
      </c>
      <c r="D391" s="297" t="s">
        <v>630</v>
      </c>
      <c r="E391" s="270" t="s">
        <v>305</v>
      </c>
      <c r="F391" s="270" t="s">
        <v>430</v>
      </c>
      <c r="G391" s="270" t="s">
        <v>36</v>
      </c>
      <c r="H391" s="298">
        <v>17</v>
      </c>
      <c r="I391" s="292">
        <v>24</v>
      </c>
      <c r="J391" s="292">
        <v>24</v>
      </c>
      <c r="K391" s="286"/>
      <c r="L391" s="286"/>
      <c r="M391" s="286"/>
      <c r="N391" s="286"/>
      <c r="O391" s="286"/>
      <c r="P391" s="292">
        <v>24</v>
      </c>
      <c r="Q391" s="286">
        <v>24</v>
      </c>
      <c r="R391" s="286">
        <v>24</v>
      </c>
      <c r="S391" s="286"/>
      <c r="T391" s="286">
        <v>24</v>
      </c>
      <c r="U391" s="286"/>
      <c r="V391" s="294"/>
      <c r="W391" s="286"/>
      <c r="X391" s="286"/>
      <c r="Y391" s="286"/>
      <c r="Z391" s="286"/>
      <c r="AA391" s="286"/>
      <c r="AB391" s="286"/>
      <c r="AC391" s="286">
        <v>24</v>
      </c>
      <c r="AD391" s="286"/>
      <c r="AE391" s="286"/>
      <c r="AF391" s="286"/>
      <c r="AG391" s="286"/>
      <c r="AH391" s="286"/>
      <c r="AI391" s="286"/>
      <c r="AJ391" s="286"/>
      <c r="AK391" s="287"/>
      <c r="AL391" s="288"/>
      <c r="AM391" s="287"/>
      <c r="AN391" s="287"/>
      <c r="AO391" s="287"/>
      <c r="AP391" s="286">
        <v>24</v>
      </c>
      <c r="AQ391" s="296"/>
      <c r="AR391" s="286">
        <v>24</v>
      </c>
      <c r="AS391" s="286"/>
      <c r="AT391" s="286">
        <v>24</v>
      </c>
      <c r="AU391" s="286">
        <v>24</v>
      </c>
      <c r="AV391" s="286">
        <v>24</v>
      </c>
      <c r="AW391" s="286">
        <v>24</v>
      </c>
      <c r="AX391" s="286">
        <v>24</v>
      </c>
      <c r="AY391" s="286">
        <v>24</v>
      </c>
      <c r="AZ391" s="286">
        <v>24</v>
      </c>
      <c r="BA391" s="286">
        <v>24</v>
      </c>
      <c r="BB391" s="286">
        <f>BA391</f>
        <v>24</v>
      </c>
      <c r="BC391" s="286">
        <v>24</v>
      </c>
      <c r="BD391" s="287"/>
      <c r="BE391" s="287"/>
      <c r="BF391" s="287"/>
      <c r="BG391" s="287"/>
      <c r="BH391" s="287"/>
      <c r="BI391" s="287"/>
      <c r="BJ391" s="287"/>
      <c r="BK391" s="287"/>
      <c r="BL391" s="287"/>
      <c r="BM391" s="287"/>
      <c r="BN391" s="287"/>
      <c r="BO391" s="287"/>
      <c r="BP391" s="287"/>
      <c r="BQ391" s="287"/>
      <c r="BR391" s="287"/>
      <c r="BS391" s="287"/>
      <c r="BT391" s="287"/>
      <c r="BU391" s="287"/>
      <c r="BV391" s="287"/>
      <c r="BW391" s="287"/>
      <c r="BX391" s="286"/>
      <c r="BY391" s="289"/>
      <c r="BZ391" s="289"/>
      <c r="CA391" s="289"/>
      <c r="CB391" s="289"/>
      <c r="CC391" s="289"/>
      <c r="CD391" s="289"/>
      <c r="CE391" s="289"/>
      <c r="CF391" s="289"/>
      <c r="CG391" s="287"/>
      <c r="CH391" s="287"/>
      <c r="CI391" s="287"/>
      <c r="CJ391" s="287"/>
      <c r="CK391" s="287"/>
      <c r="CL391" s="287"/>
      <c r="CM391" s="287"/>
      <c r="CN391" s="287"/>
      <c r="CO391" s="286">
        <v>24</v>
      </c>
      <c r="CP391" s="287"/>
      <c r="CQ391" s="287">
        <v>24</v>
      </c>
      <c r="CR391" s="287"/>
      <c r="CS391" s="296">
        <v>24</v>
      </c>
      <c r="CT391" s="6"/>
      <c r="CU391" s="6"/>
      <c r="CV391" s="6"/>
      <c r="CW391" s="6"/>
      <c r="CX391" s="6"/>
      <c r="CY391" s="6"/>
      <c r="CZ391" s="6"/>
      <c r="DA391" s="343">
        <f t="shared" si="14"/>
        <v>17</v>
      </c>
    </row>
    <row r="392" spans="1:105" ht="20" customHeight="1" x14ac:dyDescent="0.35">
      <c r="A392" s="290"/>
      <c r="B392" s="270" t="s">
        <v>962</v>
      </c>
      <c r="C392" s="270" t="s">
        <v>958</v>
      </c>
      <c r="D392" s="270" t="s">
        <v>959</v>
      </c>
      <c r="E392" s="270" t="s">
        <v>960</v>
      </c>
      <c r="F392" s="270" t="s">
        <v>961</v>
      </c>
      <c r="G392" s="270" t="s">
        <v>36</v>
      </c>
      <c r="H392" s="298">
        <v>31.2</v>
      </c>
      <c r="I392" s="292"/>
      <c r="J392" s="286"/>
      <c r="K392" s="286"/>
      <c r="L392" s="286"/>
      <c r="M392" s="286"/>
      <c r="N392" s="286"/>
      <c r="O392" s="286"/>
      <c r="P392" s="286"/>
      <c r="Q392" s="286"/>
      <c r="R392" s="286"/>
      <c r="S392" s="286"/>
      <c r="T392" s="286"/>
      <c r="U392" s="286"/>
      <c r="V392" s="294"/>
      <c r="W392" s="286"/>
      <c r="X392" s="286"/>
      <c r="Y392" s="286"/>
      <c r="Z392" s="286"/>
      <c r="AA392" s="286"/>
      <c r="AB392" s="286"/>
      <c r="AC392" s="286"/>
      <c r="AD392" s="286"/>
      <c r="AE392" s="286"/>
      <c r="AF392" s="286"/>
      <c r="AG392" s="286"/>
      <c r="AH392" s="286"/>
      <c r="AI392" s="286"/>
      <c r="AJ392" s="286"/>
      <c r="AK392" s="295">
        <v>38</v>
      </c>
      <c r="AL392" s="288"/>
      <c r="AM392" s="287"/>
      <c r="AN392" s="287"/>
      <c r="AO392" s="287"/>
      <c r="AP392" s="286"/>
      <c r="AQ392" s="296"/>
      <c r="AR392" s="286"/>
      <c r="AS392" s="286"/>
      <c r="AT392" s="286"/>
      <c r="AU392" s="286"/>
      <c r="AV392" s="286"/>
      <c r="AW392" s="286"/>
      <c r="AX392" s="286"/>
      <c r="AY392" s="286"/>
      <c r="AZ392" s="286"/>
      <c r="BA392" s="286"/>
      <c r="BB392" s="286"/>
      <c r="BC392" s="286"/>
      <c r="BD392" s="287"/>
      <c r="BE392" s="287"/>
      <c r="BF392" s="287"/>
      <c r="BG392" s="288">
        <v>37</v>
      </c>
      <c r="BH392" s="287"/>
      <c r="BI392" s="287"/>
      <c r="BJ392" s="287"/>
      <c r="BK392" s="287"/>
      <c r="BL392" s="287"/>
      <c r="BM392" s="287"/>
      <c r="BN392" s="287"/>
      <c r="BO392" s="287"/>
      <c r="BP392" s="287"/>
      <c r="BQ392" s="287"/>
      <c r="BR392" s="287"/>
      <c r="BS392" s="287"/>
      <c r="BT392" s="287"/>
      <c r="BU392" s="287"/>
      <c r="BV392" s="287"/>
      <c r="BW392" s="287"/>
      <c r="BX392" s="286"/>
      <c r="BY392" s="289"/>
      <c r="BZ392" s="289"/>
      <c r="CA392" s="289"/>
      <c r="CB392" s="289"/>
      <c r="CC392" s="289"/>
      <c r="CD392" s="289"/>
      <c r="CE392" s="289"/>
      <c r="CF392" s="289"/>
      <c r="CG392" s="287"/>
      <c r="CH392" s="287"/>
      <c r="CI392" s="287"/>
      <c r="CJ392" s="287"/>
      <c r="CK392" s="287"/>
      <c r="CL392" s="287"/>
      <c r="CM392" s="287"/>
      <c r="CN392" s="287"/>
      <c r="CO392" s="287"/>
      <c r="CP392" s="287"/>
      <c r="CQ392" s="287">
        <v>38</v>
      </c>
      <c r="CR392" s="287"/>
      <c r="CS392" s="6"/>
      <c r="CT392" s="6"/>
      <c r="CU392" s="6"/>
      <c r="CV392" s="6"/>
      <c r="CW392" s="6"/>
      <c r="CX392" s="6"/>
      <c r="CY392" s="6"/>
      <c r="CZ392" s="6"/>
      <c r="DA392" s="343">
        <f t="shared" si="14"/>
        <v>31.2</v>
      </c>
    </row>
    <row r="393" spans="1:105" ht="20" customHeight="1" x14ac:dyDescent="0.35">
      <c r="A393" s="290"/>
      <c r="B393" s="270" t="s">
        <v>963</v>
      </c>
      <c r="C393" s="270" t="s">
        <v>1630</v>
      </c>
      <c r="D393" s="297" t="s">
        <v>630</v>
      </c>
      <c r="E393" s="270" t="s">
        <v>367</v>
      </c>
      <c r="F393" s="270" t="s">
        <v>431</v>
      </c>
      <c r="G393" s="270" t="s">
        <v>36</v>
      </c>
      <c r="H393" s="298">
        <v>28</v>
      </c>
      <c r="I393" s="292"/>
      <c r="J393" s="286"/>
      <c r="K393" s="286"/>
      <c r="L393" s="286"/>
      <c r="M393" s="286"/>
      <c r="N393" s="292">
        <v>38</v>
      </c>
      <c r="O393" s="286">
        <v>38</v>
      </c>
      <c r="P393" s="292">
        <v>38</v>
      </c>
      <c r="Q393" s="286"/>
      <c r="R393" s="286">
        <v>38</v>
      </c>
      <c r="S393" s="286"/>
      <c r="T393" s="286"/>
      <c r="U393" s="286"/>
      <c r="V393" s="294"/>
      <c r="W393" s="286"/>
      <c r="X393" s="286"/>
      <c r="Y393" s="286"/>
      <c r="Z393" s="286"/>
      <c r="AA393" s="286"/>
      <c r="AB393" s="286"/>
      <c r="AC393" s="286"/>
      <c r="AD393" s="286"/>
      <c r="AE393" s="286"/>
      <c r="AF393" s="286"/>
      <c r="AG393" s="286"/>
      <c r="AH393" s="286"/>
      <c r="AI393" s="286"/>
      <c r="AJ393" s="286">
        <v>36</v>
      </c>
      <c r="AK393" s="295">
        <v>36</v>
      </c>
      <c r="AL393" s="288"/>
      <c r="AM393" s="287"/>
      <c r="AN393" s="287"/>
      <c r="AO393" s="287"/>
      <c r="AP393" s="286"/>
      <c r="AQ393" s="296">
        <v>36</v>
      </c>
      <c r="AR393" s="286"/>
      <c r="AS393" s="286"/>
      <c r="AT393" s="286"/>
      <c r="AU393" s="286"/>
      <c r="AV393" s="286"/>
      <c r="AW393" s="286"/>
      <c r="AX393" s="286"/>
      <c r="AY393" s="286"/>
      <c r="AZ393" s="286"/>
      <c r="BA393" s="286"/>
      <c r="BB393" s="286"/>
      <c r="BC393" s="286"/>
      <c r="BD393" s="287"/>
      <c r="BE393" s="287"/>
      <c r="BF393" s="287"/>
      <c r="BG393" s="288">
        <v>36</v>
      </c>
      <c r="BH393" s="287"/>
      <c r="BI393" s="287"/>
      <c r="BJ393" s="287"/>
      <c r="BK393" s="287"/>
      <c r="BL393" s="287"/>
      <c r="BM393" s="287"/>
      <c r="BN393" s="287"/>
      <c r="BO393" s="287"/>
      <c r="BP393" s="287"/>
      <c r="BQ393" s="287"/>
      <c r="BR393" s="287"/>
      <c r="BS393" s="287"/>
      <c r="BT393" s="287"/>
      <c r="BU393" s="287"/>
      <c r="BV393" s="287"/>
      <c r="BW393" s="287"/>
      <c r="BX393" s="286"/>
      <c r="BY393" s="289"/>
      <c r="BZ393" s="289"/>
      <c r="CA393" s="289"/>
      <c r="CB393" s="289"/>
      <c r="CC393" s="289"/>
      <c r="CD393" s="289"/>
      <c r="CE393" s="289"/>
      <c r="CF393" s="289"/>
      <c r="CG393" s="287"/>
      <c r="CH393" s="287"/>
      <c r="CI393" s="287"/>
      <c r="CJ393" s="287"/>
      <c r="CK393" s="287"/>
      <c r="CL393" s="287"/>
      <c r="CM393" s="287"/>
      <c r="CN393" s="287"/>
      <c r="CO393" s="287"/>
      <c r="CP393" s="287"/>
      <c r="CQ393" s="287">
        <v>36</v>
      </c>
      <c r="CR393" s="287"/>
      <c r="CS393" s="6"/>
      <c r="CT393" s="6"/>
      <c r="CU393" s="6"/>
      <c r="CV393" s="6"/>
      <c r="CW393" s="6"/>
      <c r="CX393" s="6"/>
      <c r="CY393" s="6"/>
      <c r="CZ393" s="6"/>
      <c r="DA393" s="343">
        <f t="shared" si="14"/>
        <v>28</v>
      </c>
    </row>
    <row r="394" spans="1:105" ht="20" customHeight="1" x14ac:dyDescent="0.35">
      <c r="A394" s="290"/>
      <c r="B394" s="270" t="s">
        <v>964</v>
      </c>
      <c r="C394" s="270" t="s">
        <v>265</v>
      </c>
      <c r="D394" s="270"/>
      <c r="E394" s="270" t="s">
        <v>34</v>
      </c>
      <c r="F394" s="270" t="s">
        <v>37</v>
      </c>
      <c r="G394" s="270" t="s">
        <v>31</v>
      </c>
      <c r="H394" s="298"/>
      <c r="I394" s="292"/>
      <c r="J394" s="286"/>
      <c r="K394" s="286"/>
      <c r="L394" s="286"/>
      <c r="M394" s="286"/>
      <c r="N394" s="286"/>
      <c r="O394" s="286"/>
      <c r="P394" s="286"/>
      <c r="Q394" s="286"/>
      <c r="R394" s="286"/>
      <c r="S394" s="286"/>
      <c r="T394" s="286"/>
      <c r="U394" s="286"/>
      <c r="V394" s="294"/>
      <c r="W394" s="286"/>
      <c r="X394" s="286"/>
      <c r="Y394" s="286"/>
      <c r="Z394" s="286"/>
      <c r="AA394" s="286"/>
      <c r="AB394" s="286"/>
      <c r="AC394" s="286"/>
      <c r="AD394" s="286"/>
      <c r="AE394" s="286"/>
      <c r="AF394" s="286"/>
      <c r="AG394" s="286"/>
      <c r="AH394" s="286"/>
      <c r="AI394" s="286"/>
      <c r="AJ394" s="286"/>
      <c r="AK394" s="287"/>
      <c r="AL394" s="288"/>
      <c r="AM394" s="287"/>
      <c r="AN394" s="287"/>
      <c r="AO394" s="287"/>
      <c r="AP394" s="286"/>
      <c r="AQ394" s="296"/>
      <c r="AR394" s="286"/>
      <c r="AS394" s="286"/>
      <c r="AT394" s="286"/>
      <c r="AU394" s="286"/>
      <c r="AV394" s="286"/>
      <c r="AW394" s="286"/>
      <c r="AX394" s="286"/>
      <c r="AY394" s="286"/>
      <c r="AZ394" s="286"/>
      <c r="BA394" s="286"/>
      <c r="BB394" s="286"/>
      <c r="BC394" s="286"/>
      <c r="BD394" s="287"/>
      <c r="BE394" s="287"/>
      <c r="BF394" s="287"/>
      <c r="BG394" s="287"/>
      <c r="BH394" s="287"/>
      <c r="BI394" s="287"/>
      <c r="BJ394" s="287"/>
      <c r="BK394" s="287"/>
      <c r="BL394" s="287"/>
      <c r="BM394" s="287"/>
      <c r="BN394" s="287"/>
      <c r="BO394" s="287"/>
      <c r="BP394" s="287"/>
      <c r="BQ394" s="287"/>
      <c r="BR394" s="287"/>
      <c r="BS394" s="287"/>
      <c r="BT394" s="287"/>
      <c r="BU394" s="287"/>
      <c r="BV394" s="287"/>
      <c r="BW394" s="287"/>
      <c r="BX394" s="286"/>
      <c r="BY394" s="289"/>
      <c r="BZ394" s="289"/>
      <c r="CA394" s="289"/>
      <c r="CB394" s="289"/>
      <c r="CC394" s="289"/>
      <c r="CD394" s="289"/>
      <c r="CE394" s="289"/>
      <c r="CF394" s="289"/>
      <c r="CG394" s="287"/>
      <c r="CH394" s="287"/>
      <c r="CI394" s="287"/>
      <c r="CJ394" s="287"/>
      <c r="CK394" s="287"/>
      <c r="CL394" s="287"/>
      <c r="CM394" s="287"/>
      <c r="CN394" s="287"/>
      <c r="CO394" s="287"/>
      <c r="CP394" s="287"/>
      <c r="CQ394" s="287"/>
      <c r="CR394" s="287"/>
      <c r="CS394" s="6"/>
      <c r="CT394" s="6"/>
      <c r="CU394" s="6"/>
      <c r="CV394" s="6"/>
      <c r="CW394" s="6"/>
      <c r="CX394" s="6"/>
      <c r="CY394" s="6"/>
      <c r="CZ394" s="6"/>
      <c r="DA394" s="343">
        <f t="shared" si="14"/>
        <v>0</v>
      </c>
    </row>
    <row r="395" spans="1:105" ht="20" customHeight="1" x14ac:dyDescent="0.35">
      <c r="A395" s="301"/>
      <c r="B395" s="270" t="s">
        <v>965</v>
      </c>
      <c r="C395" s="270" t="s">
        <v>1441</v>
      </c>
      <c r="D395" s="270"/>
      <c r="E395" s="270" t="s">
        <v>43</v>
      </c>
      <c r="F395" s="270" t="s">
        <v>428</v>
      </c>
      <c r="G395" s="270" t="s">
        <v>36</v>
      </c>
      <c r="H395" s="298">
        <v>16</v>
      </c>
      <c r="I395" s="286"/>
      <c r="J395" s="286"/>
      <c r="K395" s="286"/>
      <c r="L395" s="286"/>
      <c r="M395" s="286"/>
      <c r="N395" s="286"/>
      <c r="O395" s="286"/>
      <c r="P395" s="286"/>
      <c r="Q395" s="286"/>
      <c r="R395" s="286"/>
      <c r="S395" s="286"/>
      <c r="T395" s="286"/>
      <c r="U395" s="286"/>
      <c r="V395" s="286"/>
      <c r="W395" s="286"/>
      <c r="X395" s="286"/>
      <c r="Y395" s="286"/>
      <c r="Z395" s="286"/>
      <c r="AA395" s="286"/>
      <c r="AB395" s="286"/>
      <c r="AC395" s="286"/>
      <c r="AD395" s="286"/>
      <c r="AE395" s="286"/>
      <c r="AF395" s="286"/>
      <c r="AG395" s="286"/>
      <c r="AH395" s="286"/>
      <c r="AI395" s="286"/>
      <c r="AJ395" s="286"/>
      <c r="AK395" s="287"/>
      <c r="AL395" s="288"/>
      <c r="AM395" s="287"/>
      <c r="AN395" s="287"/>
      <c r="AO395" s="287"/>
      <c r="AP395" s="286"/>
      <c r="AQ395" s="296"/>
      <c r="AR395" s="286"/>
      <c r="AS395" s="286"/>
      <c r="AT395" s="286"/>
      <c r="AU395" s="286"/>
      <c r="AV395" s="286"/>
      <c r="AW395" s="286"/>
      <c r="AX395" s="286"/>
      <c r="AY395" s="286"/>
      <c r="AZ395" s="286"/>
      <c r="BA395" s="286"/>
      <c r="BB395" s="286"/>
      <c r="BC395" s="286"/>
      <c r="BD395" s="287"/>
      <c r="BE395" s="287"/>
      <c r="BF395" s="287"/>
      <c r="BG395" s="287"/>
      <c r="BH395" s="287"/>
      <c r="BI395" s="287"/>
      <c r="BJ395" s="287"/>
      <c r="BK395" s="287"/>
      <c r="BL395" s="287"/>
      <c r="BM395" s="287"/>
      <c r="BN395" s="287"/>
      <c r="BO395" s="287"/>
      <c r="BP395" s="287"/>
      <c r="BQ395" s="287"/>
      <c r="BR395" s="287"/>
      <c r="BS395" s="287"/>
      <c r="BT395" s="287"/>
      <c r="BU395" s="287"/>
      <c r="BV395" s="287"/>
      <c r="BW395" s="287"/>
      <c r="BX395" s="286"/>
      <c r="BY395" s="289"/>
      <c r="BZ395" s="289"/>
      <c r="CA395" s="289"/>
      <c r="CB395" s="289"/>
      <c r="CC395" s="289"/>
      <c r="CD395" s="289"/>
      <c r="CE395" s="289"/>
      <c r="CF395" s="289"/>
      <c r="CG395" s="287"/>
      <c r="CH395" s="287"/>
      <c r="CI395" s="287"/>
      <c r="CJ395" s="287"/>
      <c r="CK395" s="287"/>
      <c r="CL395" s="287"/>
      <c r="CM395" s="287"/>
      <c r="CN395" s="287"/>
      <c r="CO395" s="287"/>
      <c r="CP395" s="287"/>
      <c r="CQ395" s="287"/>
      <c r="CR395" s="287"/>
      <c r="CS395" s="6"/>
      <c r="CT395" s="6"/>
      <c r="CU395" s="6"/>
      <c r="CV395" s="6"/>
      <c r="CW395" s="6"/>
      <c r="CX395" s="6"/>
      <c r="CY395" s="6"/>
      <c r="CZ395" s="6"/>
      <c r="DA395" s="343">
        <f t="shared" si="14"/>
        <v>16</v>
      </c>
    </row>
    <row r="396" spans="1:105" ht="20" customHeight="1" x14ac:dyDescent="0.35">
      <c r="A396" s="290"/>
      <c r="B396" s="270" t="s">
        <v>966</v>
      </c>
      <c r="C396" s="270" t="s">
        <v>246</v>
      </c>
      <c r="D396" s="297" t="s">
        <v>312</v>
      </c>
      <c r="E396" s="270" t="s">
        <v>52</v>
      </c>
      <c r="F396" s="270" t="s">
        <v>432</v>
      </c>
      <c r="G396" s="270" t="s">
        <v>36</v>
      </c>
      <c r="H396" s="298">
        <v>35.799999999999997</v>
      </c>
      <c r="I396" s="292">
        <v>42</v>
      </c>
      <c r="J396" s="292">
        <v>54</v>
      </c>
      <c r="K396" s="286"/>
      <c r="L396" s="286"/>
      <c r="M396" s="286"/>
      <c r="N396" s="286"/>
      <c r="O396" s="286">
        <v>55</v>
      </c>
      <c r="P396" s="292">
        <v>55</v>
      </c>
      <c r="Q396" s="286">
        <v>55</v>
      </c>
      <c r="R396" s="286"/>
      <c r="S396" s="286">
        <v>55</v>
      </c>
      <c r="T396" s="292">
        <v>54</v>
      </c>
      <c r="U396" s="292">
        <v>54</v>
      </c>
      <c r="V396" s="294"/>
      <c r="W396" s="286"/>
      <c r="X396" s="286"/>
      <c r="Y396" s="286">
        <v>42</v>
      </c>
      <c r="Z396" s="286">
        <v>42</v>
      </c>
      <c r="AA396" s="286"/>
      <c r="AB396" s="286"/>
      <c r="AC396" s="286">
        <v>55</v>
      </c>
      <c r="AD396" s="286"/>
      <c r="AE396" s="286"/>
      <c r="AF396" s="286"/>
      <c r="AG396" s="286"/>
      <c r="AH396" s="286"/>
      <c r="AI396" s="292">
        <v>54</v>
      </c>
      <c r="AJ396" s="286">
        <v>55</v>
      </c>
      <c r="AK396" s="295">
        <v>55</v>
      </c>
      <c r="AL396" s="292">
        <v>54</v>
      </c>
      <c r="AM396" s="287"/>
      <c r="AN396" s="287"/>
      <c r="AO396" s="292">
        <v>54</v>
      </c>
      <c r="AP396" s="292">
        <v>54</v>
      </c>
      <c r="AQ396" s="296">
        <v>55</v>
      </c>
      <c r="AR396" s="292">
        <v>54</v>
      </c>
      <c r="AS396" s="286"/>
      <c r="AT396" s="292">
        <v>54</v>
      </c>
      <c r="AU396" s="292">
        <v>54</v>
      </c>
      <c r="AV396" s="292">
        <v>54</v>
      </c>
      <c r="AW396" s="292">
        <v>54</v>
      </c>
      <c r="AX396" s="292">
        <v>54</v>
      </c>
      <c r="AY396" s="292">
        <v>54</v>
      </c>
      <c r="AZ396" s="292">
        <v>54</v>
      </c>
      <c r="BA396" s="292">
        <v>54</v>
      </c>
      <c r="BB396" s="292">
        <v>54</v>
      </c>
      <c r="BC396" s="292">
        <v>54</v>
      </c>
      <c r="BD396" s="287"/>
      <c r="BE396" s="292">
        <v>54</v>
      </c>
      <c r="BF396" s="287"/>
      <c r="BG396" s="288">
        <v>42</v>
      </c>
      <c r="BH396" s="292">
        <v>54</v>
      </c>
      <c r="BI396" s="287"/>
      <c r="BJ396" s="287"/>
      <c r="BK396" s="287"/>
      <c r="BL396" s="287"/>
      <c r="BM396" s="287"/>
      <c r="BN396" s="287"/>
      <c r="BO396" s="287"/>
      <c r="BP396" s="287"/>
      <c r="BQ396" s="287"/>
      <c r="BR396" s="287"/>
      <c r="BS396" s="287"/>
      <c r="BT396" s="287"/>
      <c r="BU396" s="287"/>
      <c r="BV396" s="287"/>
      <c r="BW396" s="287"/>
      <c r="BX396" s="286">
        <f>J396</f>
        <v>54</v>
      </c>
      <c r="BY396" s="289"/>
      <c r="BZ396" s="289">
        <v>42</v>
      </c>
      <c r="CA396" s="289"/>
      <c r="CB396" s="289"/>
      <c r="CC396" s="289"/>
      <c r="CD396" s="289"/>
      <c r="CE396" s="289"/>
      <c r="CF396" s="289"/>
      <c r="CG396" s="287"/>
      <c r="CH396" s="287"/>
      <c r="CI396" s="287"/>
      <c r="CJ396" s="287"/>
      <c r="CK396" s="287"/>
      <c r="CL396" s="287"/>
      <c r="CM396" s="292">
        <v>54</v>
      </c>
      <c r="CN396" s="292">
        <v>54</v>
      </c>
      <c r="CO396" s="292">
        <v>54</v>
      </c>
      <c r="CP396" s="287"/>
      <c r="CQ396" s="287">
        <v>42</v>
      </c>
      <c r="CR396" s="292">
        <v>43</v>
      </c>
      <c r="CS396" s="296">
        <v>42</v>
      </c>
      <c r="CT396" s="6"/>
      <c r="CU396" s="6"/>
      <c r="CV396" s="6"/>
      <c r="CW396" s="6"/>
      <c r="CX396" s="6"/>
      <c r="CY396" s="6"/>
      <c r="CZ396" s="6"/>
      <c r="DA396" s="343">
        <f t="shared" si="14"/>
        <v>35.799999999999997</v>
      </c>
    </row>
    <row r="397" spans="1:105" ht="20" customHeight="1" x14ac:dyDescent="0.35">
      <c r="A397" s="290"/>
      <c r="B397" s="270" t="s">
        <v>967</v>
      </c>
      <c r="C397" s="270" t="s">
        <v>1741</v>
      </c>
      <c r="D397" s="297" t="s">
        <v>312</v>
      </c>
      <c r="E397" s="270" t="s">
        <v>52</v>
      </c>
      <c r="F397" s="270" t="s">
        <v>433</v>
      </c>
      <c r="G397" s="270" t="s">
        <v>36</v>
      </c>
      <c r="H397" s="298">
        <v>21.5</v>
      </c>
      <c r="I397" s="292"/>
      <c r="J397" s="286">
        <v>26</v>
      </c>
      <c r="K397" s="286"/>
      <c r="L397" s="286"/>
      <c r="M397" s="286"/>
      <c r="N397" s="286"/>
      <c r="O397" s="286"/>
      <c r="P397" s="286"/>
      <c r="Q397" s="286"/>
      <c r="R397" s="286"/>
      <c r="S397" s="286"/>
      <c r="T397" s="286"/>
      <c r="U397" s="286"/>
      <c r="V397" s="294"/>
      <c r="W397" s="286"/>
      <c r="X397" s="286"/>
      <c r="Y397" s="286"/>
      <c r="Z397" s="286">
        <v>26</v>
      </c>
      <c r="AA397" s="286"/>
      <c r="AB397" s="286">
        <v>24</v>
      </c>
      <c r="AC397" s="286">
        <v>24</v>
      </c>
      <c r="AD397" s="286"/>
      <c r="AE397" s="286"/>
      <c r="AF397" s="286"/>
      <c r="AG397" s="286"/>
      <c r="AH397" s="286"/>
      <c r="AI397" s="286"/>
      <c r="AJ397" s="286"/>
      <c r="AK397" s="287"/>
      <c r="AL397" s="288"/>
      <c r="AM397" s="287"/>
      <c r="AN397" s="287"/>
      <c r="AO397" s="287"/>
      <c r="AP397" s="286"/>
      <c r="AQ397" s="296">
        <v>26</v>
      </c>
      <c r="AR397" s="286"/>
      <c r="AS397" s="286"/>
      <c r="AT397" s="286"/>
      <c r="AU397" s="286"/>
      <c r="AV397" s="286"/>
      <c r="AW397" s="286"/>
      <c r="AX397" s="286"/>
      <c r="AY397" s="286">
        <v>26</v>
      </c>
      <c r="AZ397" s="286"/>
      <c r="BA397" s="286"/>
      <c r="BB397" s="286"/>
      <c r="BC397" s="286"/>
      <c r="BD397" s="287"/>
      <c r="BE397" s="287"/>
      <c r="BF397" s="287"/>
      <c r="BG397" s="288">
        <v>24</v>
      </c>
      <c r="BH397" s="287"/>
      <c r="BI397" s="287"/>
      <c r="BJ397" s="287"/>
      <c r="BK397" s="287"/>
      <c r="BL397" s="287"/>
      <c r="BM397" s="287"/>
      <c r="BN397" s="287"/>
      <c r="BO397" s="287"/>
      <c r="BP397" s="287"/>
      <c r="BQ397" s="287"/>
      <c r="BR397" s="287"/>
      <c r="BS397" s="287"/>
      <c r="BT397" s="287"/>
      <c r="BU397" s="287">
        <v>25</v>
      </c>
      <c r="BV397" s="287"/>
      <c r="BW397" s="287"/>
      <c r="BX397" s="286"/>
      <c r="BY397" s="289">
        <v>23</v>
      </c>
      <c r="BZ397" s="289"/>
      <c r="CA397" s="289">
        <v>23</v>
      </c>
      <c r="CB397" s="289"/>
      <c r="CC397" s="289"/>
      <c r="CD397" s="289"/>
      <c r="CE397" s="289"/>
      <c r="CF397" s="289"/>
      <c r="CG397" s="287"/>
      <c r="CH397" s="287"/>
      <c r="CI397" s="287"/>
      <c r="CJ397" s="287"/>
      <c r="CK397" s="287"/>
      <c r="CL397" s="287"/>
      <c r="CM397" s="287"/>
      <c r="CN397" s="287"/>
      <c r="CO397" s="287"/>
      <c r="CP397" s="287"/>
      <c r="CQ397" s="287"/>
      <c r="CR397" s="287"/>
      <c r="CS397" s="287"/>
      <c r="CT397" s="6"/>
      <c r="CU397" s="6"/>
      <c r="CV397" s="6"/>
      <c r="CW397" s="6"/>
      <c r="CX397" s="6"/>
      <c r="CY397" s="6"/>
      <c r="CZ397" s="6"/>
      <c r="DA397" s="343">
        <f t="shared" si="14"/>
        <v>21.5</v>
      </c>
    </row>
    <row r="398" spans="1:105" ht="20" customHeight="1" x14ac:dyDescent="0.35">
      <c r="A398" s="290"/>
      <c r="B398" s="306" t="s">
        <v>1397</v>
      </c>
      <c r="C398" s="270" t="s">
        <v>246</v>
      </c>
      <c r="D398" s="270"/>
      <c r="E398" s="270" t="s">
        <v>52</v>
      </c>
      <c r="F398" s="270" t="s">
        <v>1398</v>
      </c>
      <c r="G398" s="270" t="s">
        <v>38</v>
      </c>
      <c r="H398" s="298"/>
      <c r="I398" s="292"/>
      <c r="J398" s="286"/>
      <c r="K398" s="286"/>
      <c r="L398" s="286"/>
      <c r="M398" s="286"/>
      <c r="N398" s="286"/>
      <c r="O398" s="286"/>
      <c r="P398" s="286"/>
      <c r="Q398" s="286"/>
      <c r="R398" s="286"/>
      <c r="S398" s="286"/>
      <c r="T398" s="286"/>
      <c r="U398" s="286"/>
      <c r="V398" s="294"/>
      <c r="W398" s="286"/>
      <c r="X398" s="286"/>
      <c r="Y398" s="286"/>
      <c r="Z398" s="286"/>
      <c r="AA398" s="286"/>
      <c r="AB398" s="286"/>
      <c r="AC398" s="286"/>
      <c r="AD398" s="286"/>
      <c r="AE398" s="286"/>
      <c r="AF398" s="286"/>
      <c r="AG398" s="286"/>
      <c r="AH398" s="286"/>
      <c r="AI398" s="286"/>
      <c r="AJ398" s="286"/>
      <c r="AK398" s="287"/>
      <c r="AL398" s="288"/>
      <c r="AM398" s="287"/>
      <c r="AN398" s="287"/>
      <c r="AO398" s="287"/>
      <c r="AP398" s="286"/>
      <c r="AQ398" s="296"/>
      <c r="AR398" s="286"/>
      <c r="AS398" s="286"/>
      <c r="AT398" s="286"/>
      <c r="AU398" s="286"/>
      <c r="AV398" s="286"/>
      <c r="AW398" s="286"/>
      <c r="AX398" s="286"/>
      <c r="AY398" s="286"/>
      <c r="AZ398" s="286"/>
      <c r="BA398" s="286"/>
      <c r="BB398" s="286"/>
      <c r="BC398" s="286"/>
      <c r="BD398" s="287"/>
      <c r="BE398" s="287"/>
      <c r="BF398" s="287"/>
      <c r="BG398" s="287"/>
      <c r="BH398" s="287"/>
      <c r="BI398" s="287"/>
      <c r="BJ398" s="287"/>
      <c r="BK398" s="287"/>
      <c r="BL398" s="287"/>
      <c r="BM398" s="287"/>
      <c r="BN398" s="287"/>
      <c r="BO398" s="287"/>
      <c r="BP398" s="287"/>
      <c r="BQ398" s="287"/>
      <c r="BR398" s="287"/>
      <c r="BS398" s="287"/>
      <c r="BT398" s="287"/>
      <c r="BU398" s="287"/>
      <c r="BV398" s="287"/>
      <c r="BW398" s="287"/>
      <c r="BX398" s="286"/>
      <c r="BY398" s="289"/>
      <c r="BZ398" s="289"/>
      <c r="CA398" s="289"/>
      <c r="CB398" s="289"/>
      <c r="CC398" s="289"/>
      <c r="CD398" s="289"/>
      <c r="CE398" s="289"/>
      <c r="CF398" s="289"/>
      <c r="CG398" s="287"/>
      <c r="CH398" s="287"/>
      <c r="CI398" s="287"/>
      <c r="CJ398" s="287"/>
      <c r="CK398" s="287"/>
      <c r="CL398" s="287"/>
      <c r="CM398" s="287"/>
      <c r="CN398" s="287"/>
      <c r="CO398" s="287"/>
      <c r="CP398" s="287"/>
      <c r="CQ398" s="287"/>
      <c r="CR398" s="287"/>
      <c r="CS398" s="6"/>
      <c r="CT398" s="6"/>
      <c r="CU398" s="6"/>
      <c r="CV398" s="6"/>
      <c r="CW398" s="6"/>
      <c r="CX398" s="6"/>
      <c r="CY398" s="6"/>
      <c r="CZ398" s="6"/>
      <c r="DA398" s="343">
        <f t="shared" ref="DA398:DA474" si="17">H398</f>
        <v>0</v>
      </c>
    </row>
    <row r="399" spans="1:105" ht="20" customHeight="1" x14ac:dyDescent="0.35">
      <c r="A399" s="290"/>
      <c r="B399" s="270" t="s">
        <v>968</v>
      </c>
      <c r="C399" s="270" t="s">
        <v>254</v>
      </c>
      <c r="D399" s="297" t="s">
        <v>623</v>
      </c>
      <c r="E399" s="270" t="s">
        <v>34</v>
      </c>
      <c r="F399" s="270" t="s">
        <v>1508</v>
      </c>
      <c r="G399" s="270" t="s">
        <v>42</v>
      </c>
      <c r="H399" s="298">
        <v>13</v>
      </c>
      <c r="I399" s="292">
        <v>16</v>
      </c>
      <c r="J399" s="286"/>
      <c r="K399" s="286"/>
      <c r="L399" s="286"/>
      <c r="M399" s="286"/>
      <c r="N399" s="286"/>
      <c r="O399" s="286"/>
      <c r="P399" s="286"/>
      <c r="Q399" s="286"/>
      <c r="R399" s="286"/>
      <c r="S399" s="286"/>
      <c r="T399" s="286"/>
      <c r="U399" s="286"/>
      <c r="V399" s="294"/>
      <c r="W399" s="286"/>
      <c r="X399" s="286"/>
      <c r="Y399" s="286"/>
      <c r="Z399" s="286"/>
      <c r="AA399" s="286"/>
      <c r="AB399" s="286"/>
      <c r="AC399" s="286"/>
      <c r="AD399" s="286"/>
      <c r="AE399" s="286"/>
      <c r="AF399" s="286"/>
      <c r="AG399" s="286"/>
      <c r="AH399" s="286"/>
      <c r="AI399" s="286"/>
      <c r="AJ399" s="286"/>
      <c r="AK399" s="287"/>
      <c r="AL399" s="288"/>
      <c r="AM399" s="287"/>
      <c r="AN399" s="287"/>
      <c r="AO399" s="287"/>
      <c r="AP399" s="286"/>
      <c r="AQ399" s="296"/>
      <c r="AR399" s="286"/>
      <c r="AS399" s="286"/>
      <c r="AT399" s="286"/>
      <c r="AU399" s="286"/>
      <c r="AV399" s="286"/>
      <c r="AW399" s="286"/>
      <c r="AX399" s="286"/>
      <c r="AY399" s="286"/>
      <c r="AZ399" s="286"/>
      <c r="BA399" s="286"/>
      <c r="BB399" s="286"/>
      <c r="BC399" s="286"/>
      <c r="BD399" s="287"/>
      <c r="BE399" s="287"/>
      <c r="BF399" s="287"/>
      <c r="BG399" s="287"/>
      <c r="BH399" s="287"/>
      <c r="BI399" s="287"/>
      <c r="BJ399" s="287"/>
      <c r="BK399" s="287"/>
      <c r="BL399" s="287"/>
      <c r="BM399" s="287"/>
      <c r="BN399" s="287"/>
      <c r="BO399" s="287"/>
      <c r="BP399" s="287"/>
      <c r="BQ399" s="287"/>
      <c r="BR399" s="287"/>
      <c r="BS399" s="287"/>
      <c r="BT399" s="287"/>
      <c r="BU399" s="287"/>
      <c r="BV399" s="287"/>
      <c r="BW399" s="287"/>
      <c r="BX399" s="286"/>
      <c r="BY399" s="289"/>
      <c r="BZ399" s="289"/>
      <c r="CA399" s="289"/>
      <c r="CB399" s="289"/>
      <c r="CC399" s="289"/>
      <c r="CD399" s="289"/>
      <c r="CE399" s="289"/>
      <c r="CF399" s="289"/>
      <c r="CG399" s="287"/>
      <c r="CH399" s="287"/>
      <c r="CI399" s="287"/>
      <c r="CJ399" s="287"/>
      <c r="CK399" s="287"/>
      <c r="CL399" s="287"/>
      <c r="CM399" s="287"/>
      <c r="CN399" s="287"/>
      <c r="CO399" s="287"/>
      <c r="CP399" s="287"/>
      <c r="CQ399" s="287"/>
      <c r="CR399" s="287"/>
      <c r="CS399" s="6"/>
      <c r="CT399" s="6"/>
      <c r="CU399" s="6"/>
      <c r="CV399" s="6"/>
      <c r="CW399" s="6"/>
      <c r="CX399" s="6"/>
      <c r="CY399" s="6"/>
      <c r="CZ399" s="6"/>
      <c r="DA399" s="343">
        <f t="shared" si="17"/>
        <v>13</v>
      </c>
    </row>
    <row r="400" spans="1:105" ht="20" customHeight="1" x14ac:dyDescent="0.35">
      <c r="A400" s="290"/>
      <c r="B400" s="270" t="s">
        <v>969</v>
      </c>
      <c r="C400" s="270" t="s">
        <v>246</v>
      </c>
      <c r="D400" s="297" t="s">
        <v>312</v>
      </c>
      <c r="E400" s="270" t="s">
        <v>136</v>
      </c>
      <c r="F400" s="270" t="s">
        <v>432</v>
      </c>
      <c r="G400" s="270" t="s">
        <v>36</v>
      </c>
      <c r="H400" s="298">
        <f>3450/113</f>
        <v>30.530973451327434</v>
      </c>
      <c r="I400" s="292"/>
      <c r="J400" s="286"/>
      <c r="K400" s="286"/>
      <c r="L400" s="286"/>
      <c r="M400" s="286"/>
      <c r="N400" s="286"/>
      <c r="O400" s="286">
        <v>42</v>
      </c>
      <c r="P400" s="286"/>
      <c r="Q400" s="286"/>
      <c r="R400" s="286"/>
      <c r="S400" s="286"/>
      <c r="T400" s="286"/>
      <c r="U400" s="286"/>
      <c r="V400" s="294"/>
      <c r="W400" s="286"/>
      <c r="X400" s="286"/>
      <c r="Y400" s="286"/>
      <c r="Z400" s="286"/>
      <c r="AA400" s="286"/>
      <c r="AB400" s="286"/>
      <c r="AC400" s="286"/>
      <c r="AD400" s="286"/>
      <c r="AE400" s="286"/>
      <c r="AF400" s="286"/>
      <c r="AG400" s="286"/>
      <c r="AH400" s="286"/>
      <c r="AI400" s="286"/>
      <c r="AJ400" s="286"/>
      <c r="AK400" s="295"/>
      <c r="AL400" s="288"/>
      <c r="AM400" s="287">
        <v>39</v>
      </c>
      <c r="AN400" s="287"/>
      <c r="AO400" s="287"/>
      <c r="AP400" s="286"/>
      <c r="AQ400" s="296"/>
      <c r="AR400" s="286"/>
      <c r="AS400" s="286"/>
      <c r="AT400" s="286"/>
      <c r="AU400" s="286"/>
      <c r="AV400" s="286"/>
      <c r="AW400" s="286"/>
      <c r="AX400" s="286"/>
      <c r="AY400" s="286"/>
      <c r="AZ400" s="286"/>
      <c r="BA400" s="286"/>
      <c r="BB400" s="286"/>
      <c r="BC400" s="286"/>
      <c r="BD400" s="287"/>
      <c r="BE400" s="287"/>
      <c r="BF400" s="287"/>
      <c r="BG400" s="288">
        <v>38</v>
      </c>
      <c r="BH400" s="287"/>
      <c r="BI400" s="287"/>
      <c r="BJ400" s="287"/>
      <c r="BK400" s="287"/>
      <c r="BL400" s="287"/>
      <c r="BM400" s="287"/>
      <c r="BN400" s="287"/>
      <c r="BO400" s="287"/>
      <c r="BP400" s="287"/>
      <c r="BQ400" s="287"/>
      <c r="BR400" s="287"/>
      <c r="BS400" s="287"/>
      <c r="BT400" s="287"/>
      <c r="BU400" s="287"/>
      <c r="BV400" s="287"/>
      <c r="BW400" s="287"/>
      <c r="BX400" s="286"/>
      <c r="BY400" s="289"/>
      <c r="BZ400" s="289"/>
      <c r="CA400" s="289"/>
      <c r="CB400" s="289"/>
      <c r="CC400" s="289"/>
      <c r="CD400" s="289"/>
      <c r="CE400" s="289"/>
      <c r="CF400" s="289"/>
      <c r="CG400" s="287"/>
      <c r="CH400" s="287"/>
      <c r="CI400" s="287"/>
      <c r="CJ400" s="287"/>
      <c r="CK400" s="287"/>
      <c r="CL400" s="287"/>
      <c r="CM400" s="287"/>
      <c r="CN400" s="287"/>
      <c r="CO400" s="287"/>
      <c r="CP400" s="287"/>
      <c r="CQ400" s="287"/>
      <c r="CR400" s="287"/>
      <c r="CS400" s="287"/>
      <c r="CT400" s="6"/>
      <c r="CU400" s="6"/>
      <c r="CV400" s="6"/>
      <c r="CW400" s="6"/>
      <c r="CX400" s="6"/>
      <c r="CY400" s="6"/>
      <c r="CZ400" s="6"/>
      <c r="DA400" s="343">
        <f t="shared" si="17"/>
        <v>30.530973451327434</v>
      </c>
    </row>
    <row r="401" spans="1:105" ht="20" customHeight="1" x14ac:dyDescent="0.35">
      <c r="A401" s="290"/>
      <c r="B401" s="270" t="s">
        <v>970</v>
      </c>
      <c r="C401" s="270" t="s">
        <v>309</v>
      </c>
      <c r="D401" s="297" t="s">
        <v>604</v>
      </c>
      <c r="E401" s="270" t="s">
        <v>34</v>
      </c>
      <c r="F401" s="270" t="s">
        <v>129</v>
      </c>
      <c r="G401" s="270" t="s">
        <v>44</v>
      </c>
      <c r="H401" s="298">
        <v>6.5</v>
      </c>
      <c r="I401" s="292"/>
      <c r="J401" s="286"/>
      <c r="K401" s="286"/>
      <c r="L401" s="286">
        <f>1.8*6</f>
        <v>10.8</v>
      </c>
      <c r="M401" s="286"/>
      <c r="N401" s="286"/>
      <c r="O401" s="286"/>
      <c r="P401" s="286"/>
      <c r="Q401" s="286"/>
      <c r="R401" s="286">
        <v>21</v>
      </c>
      <c r="S401" s="286"/>
      <c r="T401" s="286"/>
      <c r="U401" s="286"/>
      <c r="V401" s="286"/>
      <c r="W401" s="286"/>
      <c r="X401" s="286"/>
      <c r="Y401" s="286"/>
      <c r="Z401" s="286"/>
      <c r="AA401" s="286"/>
      <c r="AB401" s="286"/>
      <c r="AC401" s="286"/>
      <c r="AD401" s="286"/>
      <c r="AE401" s="286"/>
      <c r="AF401" s="286"/>
      <c r="AG401" s="286"/>
      <c r="AH401" s="286"/>
      <c r="AI401" s="286"/>
      <c r="AJ401" s="286"/>
      <c r="AK401" s="287"/>
      <c r="AL401" s="288"/>
      <c r="AM401" s="287"/>
      <c r="AN401" s="287"/>
      <c r="AO401" s="287"/>
      <c r="AP401" s="286"/>
      <c r="AQ401" s="296"/>
      <c r="AR401" s="286"/>
      <c r="AS401" s="286"/>
      <c r="AT401" s="286"/>
      <c r="AU401" s="286"/>
      <c r="AV401" s="286"/>
      <c r="AW401" s="286"/>
      <c r="AX401" s="286"/>
      <c r="AY401" s="286"/>
      <c r="AZ401" s="286"/>
      <c r="BA401" s="286"/>
      <c r="BB401" s="286"/>
      <c r="BC401" s="286"/>
      <c r="BD401" s="287"/>
      <c r="BE401" s="287"/>
      <c r="BF401" s="287"/>
      <c r="BG401" s="287"/>
      <c r="BH401" s="287"/>
      <c r="BI401" s="287"/>
      <c r="BJ401" s="287"/>
      <c r="BK401" s="287"/>
      <c r="BL401" s="287"/>
      <c r="BM401" s="287"/>
      <c r="BN401" s="287"/>
      <c r="BO401" s="287"/>
      <c r="BP401" s="287"/>
      <c r="BQ401" s="287"/>
      <c r="BR401" s="287"/>
      <c r="BS401" s="287"/>
      <c r="BT401" s="287"/>
      <c r="BU401" s="287"/>
      <c r="BV401" s="287"/>
      <c r="BW401" s="287"/>
      <c r="BX401" s="286"/>
      <c r="BY401" s="289"/>
      <c r="BZ401" s="289"/>
      <c r="CA401" s="289"/>
      <c r="CB401" s="289"/>
      <c r="CC401" s="289"/>
      <c r="CD401" s="289"/>
      <c r="CE401" s="289"/>
      <c r="CF401" s="289"/>
      <c r="CG401" s="287"/>
      <c r="CH401" s="287"/>
      <c r="CI401" s="287"/>
      <c r="CJ401" s="287"/>
      <c r="CK401" s="287"/>
      <c r="CL401" s="287"/>
      <c r="CM401" s="287"/>
      <c r="CN401" s="287"/>
      <c r="CO401" s="287"/>
      <c r="CP401" s="287"/>
      <c r="CQ401" s="287"/>
      <c r="CR401" s="287"/>
      <c r="CS401" s="287"/>
      <c r="CT401" s="6"/>
      <c r="CU401" s="6"/>
      <c r="CV401" s="6"/>
      <c r="CW401" s="6"/>
      <c r="CX401" s="6"/>
      <c r="CY401" s="6"/>
      <c r="CZ401" s="6"/>
      <c r="DA401" s="343">
        <f t="shared" si="17"/>
        <v>6.5</v>
      </c>
    </row>
    <row r="402" spans="1:105" ht="20" customHeight="1" x14ac:dyDescent="0.35">
      <c r="A402" s="290"/>
      <c r="B402" s="270" t="s">
        <v>1987</v>
      </c>
      <c r="C402" s="270" t="s">
        <v>309</v>
      </c>
      <c r="D402" s="297" t="s">
        <v>604</v>
      </c>
      <c r="E402" s="270" t="s">
        <v>34</v>
      </c>
      <c r="F402" s="270" t="s">
        <v>1988</v>
      </c>
      <c r="G402" s="270" t="s">
        <v>138</v>
      </c>
      <c r="H402" s="298">
        <f>6.5/6</f>
        <v>1.0833333333333333</v>
      </c>
      <c r="I402" s="292"/>
      <c r="J402" s="286"/>
      <c r="K402" s="286"/>
      <c r="L402" s="286">
        <f>1.8*6</f>
        <v>10.8</v>
      </c>
      <c r="M402" s="286"/>
      <c r="N402" s="286"/>
      <c r="O402" s="286"/>
      <c r="P402" s="286"/>
      <c r="Q402" s="286"/>
      <c r="R402" s="286">
        <v>21</v>
      </c>
      <c r="S402" s="286"/>
      <c r="T402" s="286"/>
      <c r="U402" s="286"/>
      <c r="V402" s="286"/>
      <c r="W402" s="286"/>
      <c r="X402" s="286"/>
      <c r="Y402" s="286"/>
      <c r="Z402" s="286"/>
      <c r="AA402" s="286"/>
      <c r="AB402" s="286"/>
      <c r="AC402" s="286"/>
      <c r="AD402" s="286"/>
      <c r="AE402" s="286"/>
      <c r="AF402" s="286"/>
      <c r="AG402" s="286"/>
      <c r="AH402" s="286"/>
      <c r="AI402" s="286"/>
      <c r="AJ402" s="286"/>
      <c r="AK402" s="287"/>
      <c r="AL402" s="288"/>
      <c r="AM402" s="287"/>
      <c r="AN402" s="287"/>
      <c r="AO402" s="287"/>
      <c r="AP402" s="286"/>
      <c r="AQ402" s="296"/>
      <c r="AR402" s="286"/>
      <c r="AS402" s="286"/>
      <c r="AT402" s="286"/>
      <c r="AU402" s="286"/>
      <c r="AV402" s="286"/>
      <c r="AW402" s="286"/>
      <c r="AX402" s="286"/>
      <c r="AY402" s="286"/>
      <c r="AZ402" s="286"/>
      <c r="BA402" s="286"/>
      <c r="BB402" s="286"/>
      <c r="BC402" s="286"/>
      <c r="BD402" s="287"/>
      <c r="BE402" s="287"/>
      <c r="BF402" s="287"/>
      <c r="BG402" s="287"/>
      <c r="BH402" s="287"/>
      <c r="BI402" s="287"/>
      <c r="BJ402" s="287"/>
      <c r="BK402" s="287"/>
      <c r="BL402" s="287"/>
      <c r="BM402" s="287"/>
      <c r="BN402" s="287"/>
      <c r="BO402" s="287"/>
      <c r="BP402" s="287"/>
      <c r="BQ402" s="287"/>
      <c r="BR402" s="287"/>
      <c r="BS402" s="287"/>
      <c r="BT402" s="287"/>
      <c r="BU402" s="287"/>
      <c r="BV402" s="287"/>
      <c r="BW402" s="287"/>
      <c r="BX402" s="286"/>
      <c r="BY402" s="289"/>
      <c r="BZ402" s="289"/>
      <c r="CA402" s="289"/>
      <c r="CB402" s="289"/>
      <c r="CC402" s="289"/>
      <c r="CD402" s="289"/>
      <c r="CE402" s="289"/>
      <c r="CF402" s="289"/>
      <c r="CG402" s="287"/>
      <c r="CH402" s="287"/>
      <c r="CI402" s="287"/>
      <c r="CJ402" s="287"/>
      <c r="CK402" s="287"/>
      <c r="CL402" s="287">
        <v>1.8</v>
      </c>
      <c r="CM402" s="287"/>
      <c r="CN402" s="287"/>
      <c r="CO402" s="287"/>
      <c r="CP402" s="287"/>
      <c r="CQ402" s="287"/>
      <c r="CR402" s="287"/>
      <c r="CS402" s="287"/>
      <c r="CT402" s="6"/>
      <c r="CU402" s="6"/>
      <c r="CV402" s="6"/>
      <c r="CW402" s="6"/>
      <c r="CX402" s="6"/>
      <c r="CY402" s="6"/>
      <c r="CZ402" s="6"/>
      <c r="DA402" s="343">
        <f>H402</f>
        <v>1.0833333333333333</v>
      </c>
    </row>
    <row r="403" spans="1:105" ht="20" customHeight="1" x14ac:dyDescent="0.35">
      <c r="A403" s="290">
        <v>523494</v>
      </c>
      <c r="B403" s="270" t="s">
        <v>971</v>
      </c>
      <c r="C403" s="270" t="s">
        <v>258</v>
      </c>
      <c r="D403" s="297" t="s">
        <v>513</v>
      </c>
      <c r="E403" s="270" t="s">
        <v>34</v>
      </c>
      <c r="F403" s="270" t="s">
        <v>1835</v>
      </c>
      <c r="G403" s="270" t="s">
        <v>208</v>
      </c>
      <c r="H403" s="298">
        <v>27</v>
      </c>
      <c r="I403" s="292">
        <v>32</v>
      </c>
      <c r="J403" s="286"/>
      <c r="K403" s="286"/>
      <c r="L403" s="286"/>
      <c r="M403" s="286"/>
      <c r="N403" s="286"/>
      <c r="O403" s="286"/>
      <c r="P403" s="286"/>
      <c r="Q403" s="286"/>
      <c r="R403" s="286"/>
      <c r="S403" s="286"/>
      <c r="T403" s="286"/>
      <c r="U403" s="286"/>
      <c r="V403" s="286"/>
      <c r="W403" s="286"/>
      <c r="X403" s="286"/>
      <c r="Y403" s="286"/>
      <c r="Z403" s="286"/>
      <c r="AA403" s="286"/>
      <c r="AB403" s="286"/>
      <c r="AC403" s="286"/>
      <c r="AD403" s="286"/>
      <c r="AE403" s="286"/>
      <c r="AF403" s="286"/>
      <c r="AG403" s="286"/>
      <c r="AH403" s="286"/>
      <c r="AI403" s="286"/>
      <c r="AJ403" s="286"/>
      <c r="AK403" s="287"/>
      <c r="AL403" s="288"/>
      <c r="AM403" s="287"/>
      <c r="AN403" s="287"/>
      <c r="AO403" s="287"/>
      <c r="AP403" s="286"/>
      <c r="AQ403" s="296"/>
      <c r="AR403" s="286"/>
      <c r="AS403" s="286"/>
      <c r="AT403" s="286"/>
      <c r="AU403" s="286"/>
      <c r="AV403" s="286"/>
      <c r="AW403" s="286"/>
      <c r="AX403" s="286"/>
      <c r="AY403" s="286"/>
      <c r="AZ403" s="286"/>
      <c r="BA403" s="286"/>
      <c r="BB403" s="286"/>
      <c r="BC403" s="286"/>
      <c r="BD403" s="287"/>
      <c r="BE403" s="287"/>
      <c r="BF403" s="287"/>
      <c r="BG403" s="287"/>
      <c r="BH403" s="287"/>
      <c r="BI403" s="287"/>
      <c r="BJ403" s="287"/>
      <c r="BK403" s="287"/>
      <c r="BL403" s="287"/>
      <c r="BM403" s="287"/>
      <c r="BN403" s="287"/>
      <c r="BO403" s="287"/>
      <c r="BP403" s="287"/>
      <c r="BQ403" s="287"/>
      <c r="BR403" s="287"/>
      <c r="BS403" s="287"/>
      <c r="BT403" s="287"/>
      <c r="BU403" s="287"/>
      <c r="BV403" s="287"/>
      <c r="BW403" s="287"/>
      <c r="BX403" s="286"/>
      <c r="BY403" s="289"/>
      <c r="BZ403" s="289"/>
      <c r="CA403" s="289"/>
      <c r="CB403" s="289"/>
      <c r="CC403" s="289"/>
      <c r="CD403" s="289"/>
      <c r="CE403" s="289"/>
      <c r="CF403" s="289"/>
      <c r="CG403" s="287"/>
      <c r="CH403" s="287"/>
      <c r="CI403" s="287"/>
      <c r="CJ403" s="287"/>
      <c r="CK403" s="287"/>
      <c r="CL403" s="287"/>
      <c r="CM403" s="287"/>
      <c r="CN403" s="287"/>
      <c r="CO403" s="287"/>
      <c r="CP403" s="287"/>
      <c r="CQ403" s="287">
        <v>32</v>
      </c>
      <c r="CR403" s="287"/>
      <c r="CS403" s="287"/>
      <c r="CT403" s="6"/>
      <c r="CU403" s="6"/>
      <c r="CV403" s="6"/>
      <c r="CW403" s="6"/>
      <c r="CX403" s="6"/>
      <c r="CY403" s="6"/>
      <c r="CZ403" s="6"/>
      <c r="DA403" s="343">
        <f t="shared" si="17"/>
        <v>27</v>
      </c>
    </row>
    <row r="404" spans="1:105" ht="20" customHeight="1" x14ac:dyDescent="0.35">
      <c r="A404" s="290">
        <v>520702</v>
      </c>
      <c r="B404" s="270" t="s">
        <v>972</v>
      </c>
      <c r="C404" s="270" t="s">
        <v>259</v>
      </c>
      <c r="D404" s="297" t="s">
        <v>513</v>
      </c>
      <c r="E404" s="270" t="s">
        <v>34</v>
      </c>
      <c r="F404" s="270" t="s">
        <v>1835</v>
      </c>
      <c r="G404" s="270" t="s">
        <v>208</v>
      </c>
      <c r="H404" s="310">
        <v>27</v>
      </c>
      <c r="I404" s="292">
        <v>32</v>
      </c>
      <c r="J404" s="286"/>
      <c r="K404" s="286"/>
      <c r="L404" s="286"/>
      <c r="M404" s="286"/>
      <c r="N404" s="286"/>
      <c r="O404" s="286"/>
      <c r="P404" s="286"/>
      <c r="Q404" s="286"/>
      <c r="R404" s="286"/>
      <c r="S404" s="286"/>
      <c r="T404" s="286"/>
      <c r="U404" s="286"/>
      <c r="V404" s="286"/>
      <c r="W404" s="286"/>
      <c r="X404" s="286"/>
      <c r="Y404" s="286"/>
      <c r="Z404" s="286"/>
      <c r="AA404" s="286"/>
      <c r="AB404" s="286">
        <v>32</v>
      </c>
      <c r="AC404" s="286"/>
      <c r="AD404" s="286"/>
      <c r="AE404" s="286"/>
      <c r="AF404" s="286"/>
      <c r="AG404" s="286"/>
      <c r="AH404" s="286"/>
      <c r="AI404" s="286"/>
      <c r="AJ404" s="286"/>
      <c r="AK404" s="287"/>
      <c r="AL404" s="288"/>
      <c r="AM404" s="287"/>
      <c r="AN404" s="287"/>
      <c r="AO404" s="287"/>
      <c r="AP404" s="286"/>
      <c r="AQ404" s="296"/>
      <c r="AR404" s="286"/>
      <c r="AS404" s="286"/>
      <c r="AT404" s="286"/>
      <c r="AU404" s="286"/>
      <c r="AV404" s="286"/>
      <c r="AW404" s="286"/>
      <c r="AX404" s="286"/>
      <c r="AY404" s="286"/>
      <c r="AZ404" s="286"/>
      <c r="BA404" s="286"/>
      <c r="BB404" s="286"/>
      <c r="BC404" s="286"/>
      <c r="BD404" s="287"/>
      <c r="BE404" s="287"/>
      <c r="BF404" s="287"/>
      <c r="BG404" s="287"/>
      <c r="BH404" s="287"/>
      <c r="BI404" s="287">
        <v>21</v>
      </c>
      <c r="BJ404" s="287"/>
      <c r="BK404" s="287"/>
      <c r="BL404" s="287"/>
      <c r="BM404" s="287"/>
      <c r="BN404" s="287"/>
      <c r="BO404" s="287"/>
      <c r="BP404" s="287"/>
      <c r="BQ404" s="287"/>
      <c r="BR404" s="287"/>
      <c r="BS404" s="287"/>
      <c r="BT404" s="287"/>
      <c r="BU404" s="287"/>
      <c r="BV404" s="287"/>
      <c r="BW404" s="287"/>
      <c r="BX404" s="286"/>
      <c r="BY404" s="289"/>
      <c r="BZ404" s="289">
        <v>22</v>
      </c>
      <c r="CA404" s="289"/>
      <c r="CB404" s="289"/>
      <c r="CC404" s="289"/>
      <c r="CD404" s="289"/>
      <c r="CE404" s="289"/>
      <c r="CF404" s="289"/>
      <c r="CG404" s="287"/>
      <c r="CH404" s="287"/>
      <c r="CI404" s="287"/>
      <c r="CJ404" s="287"/>
      <c r="CK404" s="287"/>
      <c r="CL404" s="287">
        <v>32</v>
      </c>
      <c r="CM404" s="287"/>
      <c r="CN404" s="287"/>
      <c r="CO404" s="287"/>
      <c r="CP404" s="287"/>
      <c r="CQ404" s="287">
        <v>32</v>
      </c>
      <c r="CR404" s="287"/>
      <c r="CS404" s="287"/>
      <c r="CT404" s="6"/>
      <c r="CU404" s="6"/>
      <c r="CV404" s="6"/>
      <c r="CW404" s="6"/>
      <c r="CX404" s="6"/>
      <c r="CY404" s="6"/>
      <c r="CZ404" s="6"/>
      <c r="DA404" s="343">
        <f t="shared" si="17"/>
        <v>27</v>
      </c>
    </row>
    <row r="405" spans="1:105" ht="20" customHeight="1" x14ac:dyDescent="0.35">
      <c r="A405" s="290"/>
      <c r="B405" s="270" t="s">
        <v>973</v>
      </c>
      <c r="C405" s="270" t="s">
        <v>260</v>
      </c>
      <c r="D405" s="297" t="s">
        <v>513</v>
      </c>
      <c r="E405" s="270" t="s">
        <v>34</v>
      </c>
      <c r="F405" s="270" t="s">
        <v>1835</v>
      </c>
      <c r="G405" s="270" t="s">
        <v>208</v>
      </c>
      <c r="H405" s="298">
        <v>27</v>
      </c>
      <c r="I405" s="292"/>
      <c r="J405" s="286"/>
      <c r="K405" s="286"/>
      <c r="L405" s="286"/>
      <c r="M405" s="286"/>
      <c r="N405" s="286"/>
      <c r="O405" s="286"/>
      <c r="P405" s="286"/>
      <c r="Q405" s="286"/>
      <c r="R405" s="286"/>
      <c r="S405" s="286"/>
      <c r="T405" s="286"/>
      <c r="U405" s="286"/>
      <c r="V405" s="286"/>
      <c r="W405" s="286"/>
      <c r="X405" s="286"/>
      <c r="Y405" s="286"/>
      <c r="Z405" s="286"/>
      <c r="AA405" s="286"/>
      <c r="AB405" s="286"/>
      <c r="AC405" s="286"/>
      <c r="AD405" s="286"/>
      <c r="AE405" s="286"/>
      <c r="AF405" s="286"/>
      <c r="AG405" s="286"/>
      <c r="AH405" s="286"/>
      <c r="AI405" s="286"/>
      <c r="AJ405" s="286"/>
      <c r="AK405" s="287"/>
      <c r="AL405" s="288"/>
      <c r="AM405" s="287"/>
      <c r="AN405" s="287"/>
      <c r="AO405" s="287"/>
      <c r="AP405" s="286"/>
      <c r="AQ405" s="296"/>
      <c r="AR405" s="286"/>
      <c r="AS405" s="286"/>
      <c r="AT405" s="286"/>
      <c r="AU405" s="286"/>
      <c r="AV405" s="286"/>
      <c r="AW405" s="286"/>
      <c r="AX405" s="286"/>
      <c r="AY405" s="286"/>
      <c r="AZ405" s="286"/>
      <c r="BA405" s="286"/>
      <c r="BB405" s="286"/>
      <c r="BC405" s="286"/>
      <c r="BD405" s="287"/>
      <c r="BE405" s="287"/>
      <c r="BF405" s="287"/>
      <c r="BG405" s="287"/>
      <c r="BH405" s="287"/>
      <c r="BI405" s="287"/>
      <c r="BJ405" s="287"/>
      <c r="BK405" s="287"/>
      <c r="BL405" s="287"/>
      <c r="BM405" s="287"/>
      <c r="BN405" s="287"/>
      <c r="BO405" s="287"/>
      <c r="BP405" s="287"/>
      <c r="BQ405" s="287"/>
      <c r="BR405" s="287"/>
      <c r="BS405" s="287"/>
      <c r="BT405" s="287"/>
      <c r="BU405" s="287"/>
      <c r="BV405" s="287"/>
      <c r="BW405" s="287"/>
      <c r="BX405" s="286"/>
      <c r="BY405" s="289"/>
      <c r="BZ405" s="289"/>
      <c r="CA405" s="289"/>
      <c r="CB405" s="289"/>
      <c r="CC405" s="289"/>
      <c r="CD405" s="289"/>
      <c r="CE405" s="289"/>
      <c r="CF405" s="289"/>
      <c r="CG405" s="287"/>
      <c r="CH405" s="287"/>
      <c r="CI405" s="287"/>
      <c r="CJ405" s="287"/>
      <c r="CK405" s="287"/>
      <c r="CL405" s="287">
        <v>32</v>
      </c>
      <c r="CM405" s="287"/>
      <c r="CN405" s="287"/>
      <c r="CO405" s="287"/>
      <c r="CP405" s="287"/>
      <c r="CQ405" s="287">
        <v>32</v>
      </c>
      <c r="CR405" s="287"/>
      <c r="CS405" s="287"/>
      <c r="CT405" s="6"/>
      <c r="CU405" s="6"/>
      <c r="CV405" s="6"/>
      <c r="CW405" s="6"/>
      <c r="CX405" s="6"/>
      <c r="CY405" s="6"/>
      <c r="CZ405" s="6"/>
      <c r="DA405" s="343">
        <f t="shared" si="17"/>
        <v>27</v>
      </c>
    </row>
    <row r="406" spans="1:105" ht="20" customHeight="1" x14ac:dyDescent="0.35">
      <c r="A406" s="290"/>
      <c r="B406" s="270" t="s">
        <v>974</v>
      </c>
      <c r="C406" s="270" t="s">
        <v>261</v>
      </c>
      <c r="D406" s="297" t="s">
        <v>513</v>
      </c>
      <c r="E406" s="270" t="s">
        <v>34</v>
      </c>
      <c r="F406" s="270" t="s">
        <v>1835</v>
      </c>
      <c r="G406" s="270" t="s">
        <v>208</v>
      </c>
      <c r="H406" s="298">
        <v>13.5</v>
      </c>
      <c r="I406" s="292"/>
      <c r="J406" s="286"/>
      <c r="K406" s="286"/>
      <c r="L406" s="286"/>
      <c r="M406" s="286"/>
      <c r="N406" s="286"/>
      <c r="O406" s="286"/>
      <c r="P406" s="286"/>
      <c r="Q406" s="286"/>
      <c r="R406" s="286"/>
      <c r="S406" s="286"/>
      <c r="T406" s="286"/>
      <c r="U406" s="286"/>
      <c r="V406" s="286"/>
      <c r="W406" s="286"/>
      <c r="X406" s="286"/>
      <c r="Y406" s="286"/>
      <c r="Z406" s="286"/>
      <c r="AA406" s="286"/>
      <c r="AB406" s="286"/>
      <c r="AC406" s="286"/>
      <c r="AD406" s="286"/>
      <c r="AE406" s="286">
        <v>21</v>
      </c>
      <c r="AF406" s="286"/>
      <c r="AG406" s="286"/>
      <c r="AH406" s="286"/>
      <c r="AI406" s="286"/>
      <c r="AJ406" s="286"/>
      <c r="AK406" s="287"/>
      <c r="AL406" s="288"/>
      <c r="AM406" s="287"/>
      <c r="AN406" s="287"/>
      <c r="AO406" s="287"/>
      <c r="AP406" s="286"/>
      <c r="AQ406" s="296"/>
      <c r="AR406" s="286"/>
      <c r="AS406" s="286"/>
      <c r="AT406" s="286"/>
      <c r="AU406" s="286"/>
      <c r="AV406" s="286"/>
      <c r="AW406" s="286"/>
      <c r="AX406" s="286"/>
      <c r="AY406" s="286"/>
      <c r="AZ406" s="286"/>
      <c r="BA406" s="286"/>
      <c r="BB406" s="286"/>
      <c r="BC406" s="286"/>
      <c r="BD406" s="287"/>
      <c r="BE406" s="287"/>
      <c r="BF406" s="287"/>
      <c r="BG406" s="287"/>
      <c r="BH406" s="287"/>
      <c r="BI406" s="287"/>
      <c r="BJ406" s="287"/>
      <c r="BK406" s="287"/>
      <c r="BL406" s="287"/>
      <c r="BM406" s="287"/>
      <c r="BN406" s="287"/>
      <c r="BO406" s="287"/>
      <c r="BP406" s="287"/>
      <c r="BQ406" s="287"/>
      <c r="BR406" s="287"/>
      <c r="BS406" s="287"/>
      <c r="BT406" s="287"/>
      <c r="BU406" s="287"/>
      <c r="BV406" s="287"/>
      <c r="BW406" s="287"/>
      <c r="BX406" s="286"/>
      <c r="BY406" s="289"/>
      <c r="BZ406" s="289">
        <v>18</v>
      </c>
      <c r="CA406" s="289"/>
      <c r="CB406" s="289"/>
      <c r="CC406" s="289"/>
      <c r="CD406" s="289"/>
      <c r="CE406" s="289"/>
      <c r="CF406" s="289"/>
      <c r="CG406" s="287"/>
      <c r="CH406" s="287"/>
      <c r="CI406" s="287"/>
      <c r="CJ406" s="287"/>
      <c r="CK406" s="287"/>
      <c r="CL406" s="287"/>
      <c r="CM406" s="287"/>
      <c r="CN406" s="287"/>
      <c r="CO406" s="287"/>
      <c r="CP406" s="287"/>
      <c r="CQ406" s="287"/>
      <c r="CR406" s="287"/>
      <c r="CS406" s="287"/>
      <c r="CT406" s="6"/>
      <c r="CU406" s="6"/>
      <c r="CV406" s="6"/>
      <c r="CW406" s="6"/>
      <c r="CX406" s="6"/>
      <c r="CY406" s="6"/>
      <c r="CZ406" s="6"/>
      <c r="DA406" s="343">
        <f t="shared" si="17"/>
        <v>13.5</v>
      </c>
    </row>
    <row r="407" spans="1:105" ht="20" customHeight="1" x14ac:dyDescent="0.35">
      <c r="A407" s="301"/>
      <c r="B407" s="270" t="s">
        <v>975</v>
      </c>
      <c r="C407" s="270" t="s">
        <v>1727</v>
      </c>
      <c r="D407" s="270" t="s">
        <v>623</v>
      </c>
      <c r="E407" s="270"/>
      <c r="F407" s="270" t="s">
        <v>614</v>
      </c>
      <c r="G407" s="270" t="s">
        <v>77</v>
      </c>
      <c r="H407" s="298"/>
      <c r="I407" s="286"/>
      <c r="J407" s="286"/>
      <c r="K407" s="286"/>
      <c r="L407" s="286"/>
      <c r="M407" s="286"/>
      <c r="N407" s="286"/>
      <c r="O407" s="286"/>
      <c r="P407" s="286"/>
      <c r="Q407" s="286"/>
      <c r="R407" s="286"/>
      <c r="S407" s="286"/>
      <c r="T407" s="286"/>
      <c r="U407" s="286"/>
      <c r="V407" s="286"/>
      <c r="W407" s="286"/>
      <c r="X407" s="286"/>
      <c r="Y407" s="286"/>
      <c r="Z407" s="286"/>
      <c r="AA407" s="286"/>
      <c r="AB407" s="286"/>
      <c r="AC407" s="286"/>
      <c r="AD407" s="286"/>
      <c r="AE407" s="286"/>
      <c r="AF407" s="286"/>
      <c r="AG407" s="286"/>
      <c r="AH407" s="286"/>
      <c r="AI407" s="286"/>
      <c r="AJ407" s="286"/>
      <c r="AK407" s="287"/>
      <c r="AL407" s="288"/>
      <c r="AM407" s="287"/>
      <c r="AN407" s="287"/>
      <c r="AO407" s="287"/>
      <c r="AP407" s="286"/>
      <c r="AQ407" s="296"/>
      <c r="AR407" s="286"/>
      <c r="AS407" s="286"/>
      <c r="AT407" s="286"/>
      <c r="AU407" s="286"/>
      <c r="AV407" s="286"/>
      <c r="AW407" s="286"/>
      <c r="AX407" s="286"/>
      <c r="AY407" s="286"/>
      <c r="AZ407" s="286"/>
      <c r="BA407" s="286"/>
      <c r="BB407" s="286"/>
      <c r="BC407" s="286"/>
      <c r="BD407" s="287"/>
      <c r="BE407" s="287"/>
      <c r="BF407" s="287"/>
      <c r="BG407" s="287"/>
      <c r="BH407" s="287"/>
      <c r="BI407" s="287"/>
      <c r="BJ407" s="287"/>
      <c r="BK407" s="287"/>
      <c r="BL407" s="287"/>
      <c r="BM407" s="287"/>
      <c r="BN407" s="287"/>
      <c r="BO407" s="287"/>
      <c r="BP407" s="287"/>
      <c r="BQ407" s="287"/>
      <c r="BR407" s="287"/>
      <c r="BS407" s="287"/>
      <c r="BT407" s="287"/>
      <c r="BU407" s="287"/>
      <c r="BV407" s="287"/>
      <c r="BW407" s="287"/>
      <c r="BX407" s="286"/>
      <c r="BY407" s="289"/>
      <c r="BZ407" s="289"/>
      <c r="CA407" s="289"/>
      <c r="CB407" s="289"/>
      <c r="CC407" s="289"/>
      <c r="CD407" s="289"/>
      <c r="CE407" s="289"/>
      <c r="CF407" s="289"/>
      <c r="CG407" s="287"/>
      <c r="CH407" s="287"/>
      <c r="CI407" s="287"/>
      <c r="CJ407" s="287"/>
      <c r="CK407" s="287"/>
      <c r="CL407" s="287"/>
      <c r="CM407" s="287"/>
      <c r="CN407" s="287"/>
      <c r="CO407" s="287"/>
      <c r="CP407" s="287"/>
      <c r="CQ407" s="287"/>
      <c r="CR407" s="287"/>
      <c r="CS407" s="6"/>
      <c r="CT407" s="6"/>
      <c r="CU407" s="6"/>
      <c r="CV407" s="6"/>
      <c r="CW407" s="6"/>
      <c r="CX407" s="6"/>
      <c r="CY407" s="6"/>
      <c r="CZ407" s="6"/>
      <c r="DA407" s="343">
        <f t="shared" si="17"/>
        <v>0</v>
      </c>
    </row>
    <row r="408" spans="1:105" ht="20" customHeight="1" x14ac:dyDescent="0.35">
      <c r="A408" s="301"/>
      <c r="B408" s="270" t="s">
        <v>976</v>
      </c>
      <c r="C408" s="270" t="s">
        <v>1728</v>
      </c>
      <c r="D408" s="270" t="s">
        <v>623</v>
      </c>
      <c r="E408" s="270"/>
      <c r="F408" s="270" t="s">
        <v>614</v>
      </c>
      <c r="G408" s="270" t="s">
        <v>77</v>
      </c>
      <c r="H408" s="298"/>
      <c r="I408" s="286"/>
      <c r="J408" s="286"/>
      <c r="K408" s="286"/>
      <c r="L408" s="286"/>
      <c r="M408" s="286"/>
      <c r="N408" s="286"/>
      <c r="O408" s="286"/>
      <c r="P408" s="286"/>
      <c r="Q408" s="286"/>
      <c r="R408" s="286"/>
      <c r="S408" s="286"/>
      <c r="T408" s="286"/>
      <c r="U408" s="286"/>
      <c r="V408" s="286"/>
      <c r="W408" s="286"/>
      <c r="X408" s="286"/>
      <c r="Y408" s="286"/>
      <c r="Z408" s="286"/>
      <c r="AA408" s="286"/>
      <c r="AB408" s="286"/>
      <c r="AC408" s="286"/>
      <c r="AD408" s="286"/>
      <c r="AE408" s="286"/>
      <c r="AF408" s="286"/>
      <c r="AG408" s="286"/>
      <c r="AH408" s="286"/>
      <c r="AI408" s="286"/>
      <c r="AJ408" s="286"/>
      <c r="AK408" s="287"/>
      <c r="AL408" s="288"/>
      <c r="AM408" s="287"/>
      <c r="AN408" s="287"/>
      <c r="AO408" s="287"/>
      <c r="AP408" s="286"/>
      <c r="AQ408" s="296"/>
      <c r="AR408" s="286"/>
      <c r="AS408" s="286"/>
      <c r="AT408" s="286"/>
      <c r="AU408" s="286"/>
      <c r="AV408" s="286"/>
      <c r="AW408" s="286"/>
      <c r="AX408" s="286"/>
      <c r="AY408" s="286"/>
      <c r="AZ408" s="286"/>
      <c r="BA408" s="286"/>
      <c r="BB408" s="286"/>
      <c r="BC408" s="286"/>
      <c r="BD408" s="287"/>
      <c r="BE408" s="287"/>
      <c r="BF408" s="287"/>
      <c r="BG408" s="287"/>
      <c r="BH408" s="287"/>
      <c r="BI408" s="287"/>
      <c r="BJ408" s="287"/>
      <c r="BK408" s="287"/>
      <c r="BL408" s="287"/>
      <c r="BM408" s="287"/>
      <c r="BN408" s="287"/>
      <c r="BO408" s="287"/>
      <c r="BP408" s="287"/>
      <c r="BQ408" s="287"/>
      <c r="BR408" s="287"/>
      <c r="BS408" s="287"/>
      <c r="BT408" s="287"/>
      <c r="BU408" s="287"/>
      <c r="BV408" s="287"/>
      <c r="BW408" s="287"/>
      <c r="BX408" s="286"/>
      <c r="BY408" s="289"/>
      <c r="BZ408" s="289"/>
      <c r="CA408" s="289"/>
      <c r="CB408" s="289"/>
      <c r="CC408" s="289"/>
      <c r="CD408" s="289"/>
      <c r="CE408" s="289"/>
      <c r="CF408" s="289"/>
      <c r="CG408" s="287"/>
      <c r="CH408" s="287"/>
      <c r="CI408" s="287"/>
      <c r="CJ408" s="287"/>
      <c r="CK408" s="287"/>
      <c r="CL408" s="287"/>
      <c r="CM408" s="287"/>
      <c r="CN408" s="287"/>
      <c r="CO408" s="287"/>
      <c r="CP408" s="287"/>
      <c r="CQ408" s="287"/>
      <c r="CR408" s="287"/>
      <c r="CS408" s="6"/>
      <c r="CT408" s="6"/>
      <c r="CU408" s="6"/>
      <c r="CV408" s="6"/>
      <c r="CW408" s="6"/>
      <c r="CX408" s="6"/>
      <c r="CY408" s="6"/>
      <c r="CZ408" s="6"/>
      <c r="DA408" s="343">
        <f t="shared" si="17"/>
        <v>0</v>
      </c>
    </row>
    <row r="409" spans="1:105" ht="20" customHeight="1" x14ac:dyDescent="0.35">
      <c r="A409" s="301"/>
      <c r="B409" s="270" t="s">
        <v>977</v>
      </c>
      <c r="C409" s="270" t="s">
        <v>1900</v>
      </c>
      <c r="D409" s="297" t="s">
        <v>623</v>
      </c>
      <c r="E409" s="270" t="s">
        <v>34</v>
      </c>
      <c r="F409" s="270" t="s">
        <v>1901</v>
      </c>
      <c r="G409" s="270" t="s">
        <v>42</v>
      </c>
      <c r="H409" s="298">
        <v>16.2</v>
      </c>
      <c r="I409" s="286"/>
      <c r="J409" s="286"/>
      <c r="K409" s="286"/>
      <c r="L409" s="286"/>
      <c r="M409" s="286"/>
      <c r="N409" s="286"/>
      <c r="O409" s="286"/>
      <c r="P409" s="286"/>
      <c r="Q409" s="286"/>
      <c r="R409" s="286">
        <v>20</v>
      </c>
      <c r="S409" s="286"/>
      <c r="T409" s="286"/>
      <c r="U409" s="286"/>
      <c r="V409" s="286"/>
      <c r="W409" s="286"/>
      <c r="X409" s="286"/>
      <c r="Y409" s="286"/>
      <c r="Z409" s="286"/>
      <c r="AA409" s="286"/>
      <c r="AB409" s="286"/>
      <c r="AC409" s="286"/>
      <c r="AD409" s="286"/>
      <c r="AE409" s="286"/>
      <c r="AF409" s="286"/>
      <c r="AG409" s="286"/>
      <c r="AH409" s="286"/>
      <c r="AI409" s="286"/>
      <c r="AJ409" s="286"/>
      <c r="AK409" s="287"/>
      <c r="AL409" s="288"/>
      <c r="AM409" s="287"/>
      <c r="AN409" s="287"/>
      <c r="AO409" s="287"/>
      <c r="AP409" s="286"/>
      <c r="AQ409" s="296"/>
      <c r="AR409" s="286"/>
      <c r="AS409" s="286"/>
      <c r="AT409" s="286"/>
      <c r="AU409" s="286"/>
      <c r="AV409" s="286"/>
      <c r="AW409" s="286"/>
      <c r="AX409" s="286"/>
      <c r="AY409" s="286"/>
      <c r="AZ409" s="286"/>
      <c r="BA409" s="286"/>
      <c r="BB409" s="286"/>
      <c r="BC409" s="286"/>
      <c r="BD409" s="287"/>
      <c r="BE409" s="287"/>
      <c r="BF409" s="287"/>
      <c r="BG409" s="287"/>
      <c r="BH409" s="287"/>
      <c r="BI409" s="287"/>
      <c r="BJ409" s="287"/>
      <c r="BK409" s="287"/>
      <c r="BL409" s="287"/>
      <c r="BM409" s="287"/>
      <c r="BN409" s="287"/>
      <c r="BO409" s="287"/>
      <c r="BP409" s="287"/>
      <c r="BQ409" s="287"/>
      <c r="BR409" s="287"/>
      <c r="BS409" s="287"/>
      <c r="BT409" s="287"/>
      <c r="BU409" s="287"/>
      <c r="BV409" s="287"/>
      <c r="BW409" s="287"/>
      <c r="BX409" s="286"/>
      <c r="BY409" s="289"/>
      <c r="BZ409" s="289"/>
      <c r="CA409" s="289"/>
      <c r="CB409" s="289"/>
      <c r="CC409" s="289"/>
      <c r="CD409" s="289"/>
      <c r="CE409" s="289"/>
      <c r="CF409" s="289"/>
      <c r="CG409" s="287"/>
      <c r="CH409" s="287"/>
      <c r="CI409" s="287"/>
      <c r="CJ409" s="287"/>
      <c r="CK409" s="287"/>
      <c r="CL409" s="287"/>
      <c r="CM409" s="287"/>
      <c r="CN409" s="287"/>
      <c r="CO409" s="287"/>
      <c r="CP409" s="287"/>
      <c r="CQ409" s="287"/>
      <c r="CR409" s="287"/>
      <c r="CS409" s="6"/>
      <c r="CT409" s="6"/>
      <c r="CU409" s="6"/>
      <c r="CV409" s="6"/>
      <c r="CW409" s="6"/>
      <c r="CX409" s="6"/>
      <c r="CY409" s="6"/>
      <c r="CZ409" s="6"/>
      <c r="DA409" s="343">
        <f t="shared" si="17"/>
        <v>16.2</v>
      </c>
    </row>
    <row r="410" spans="1:105" ht="20" customHeight="1" x14ac:dyDescent="0.35">
      <c r="A410" s="301"/>
      <c r="B410" s="270" t="s">
        <v>978</v>
      </c>
      <c r="C410" s="270" t="s">
        <v>1544</v>
      </c>
      <c r="D410" s="270"/>
      <c r="E410" s="270" t="s">
        <v>34</v>
      </c>
      <c r="F410" s="270" t="s">
        <v>1836</v>
      </c>
      <c r="G410" s="270" t="s">
        <v>36</v>
      </c>
      <c r="H410" s="298">
        <v>5.5</v>
      </c>
      <c r="I410" s="286"/>
      <c r="J410" s="286"/>
      <c r="K410" s="286"/>
      <c r="L410" s="286"/>
      <c r="M410" s="286"/>
      <c r="N410" s="286"/>
      <c r="O410" s="286"/>
      <c r="P410" s="286"/>
      <c r="Q410" s="286"/>
      <c r="R410" s="286">
        <v>7</v>
      </c>
      <c r="S410" s="286"/>
      <c r="T410" s="286"/>
      <c r="U410" s="286"/>
      <c r="V410" s="286"/>
      <c r="W410" s="286"/>
      <c r="X410" s="286"/>
      <c r="Y410" s="286"/>
      <c r="Z410" s="286"/>
      <c r="AA410" s="286"/>
      <c r="AB410" s="286"/>
      <c r="AC410" s="286"/>
      <c r="AD410" s="286"/>
      <c r="AE410" s="286"/>
      <c r="AF410" s="286"/>
      <c r="AG410" s="286"/>
      <c r="AH410" s="286"/>
      <c r="AI410" s="286"/>
      <c r="AJ410" s="286"/>
      <c r="AK410" s="287"/>
      <c r="AL410" s="288"/>
      <c r="AM410" s="287"/>
      <c r="AN410" s="287"/>
      <c r="AO410" s="287"/>
      <c r="AP410" s="286"/>
      <c r="AQ410" s="296"/>
      <c r="AR410" s="286"/>
      <c r="AS410" s="286"/>
      <c r="AT410" s="286"/>
      <c r="AU410" s="286"/>
      <c r="AV410" s="286"/>
      <c r="AW410" s="286"/>
      <c r="AX410" s="286"/>
      <c r="AY410" s="286"/>
      <c r="AZ410" s="286"/>
      <c r="BA410" s="286"/>
      <c r="BB410" s="286"/>
      <c r="BC410" s="286"/>
      <c r="BD410" s="287"/>
      <c r="BE410" s="287"/>
      <c r="BF410" s="287"/>
      <c r="BG410" s="287"/>
      <c r="BH410" s="287"/>
      <c r="BI410" s="287"/>
      <c r="BJ410" s="287"/>
      <c r="BK410" s="287"/>
      <c r="BL410" s="287"/>
      <c r="BM410" s="287"/>
      <c r="BN410" s="287"/>
      <c r="BO410" s="287"/>
      <c r="BP410" s="287"/>
      <c r="BQ410" s="287"/>
      <c r="BR410" s="287"/>
      <c r="BS410" s="287"/>
      <c r="BT410" s="287"/>
      <c r="BU410" s="287"/>
      <c r="BV410" s="287"/>
      <c r="BW410" s="287"/>
      <c r="BX410" s="286"/>
      <c r="BY410" s="289"/>
      <c r="BZ410" s="289"/>
      <c r="CA410" s="289"/>
      <c r="CB410" s="289"/>
      <c r="CC410" s="289"/>
      <c r="CD410" s="289"/>
      <c r="CE410" s="289"/>
      <c r="CF410" s="289"/>
      <c r="CG410" s="287"/>
      <c r="CH410" s="287"/>
      <c r="CI410" s="287"/>
      <c r="CJ410" s="287"/>
      <c r="CK410" s="287"/>
      <c r="CL410" s="287"/>
      <c r="CM410" s="287"/>
      <c r="CN410" s="287"/>
      <c r="CO410" s="287"/>
      <c r="CP410" s="287"/>
      <c r="CQ410" s="287"/>
      <c r="CR410" s="287"/>
      <c r="CS410" s="6"/>
      <c r="CT410" s="6"/>
      <c r="CU410" s="6"/>
      <c r="CV410" s="6"/>
      <c r="CW410" s="6"/>
      <c r="CX410" s="6"/>
      <c r="CY410" s="6"/>
      <c r="CZ410" s="6"/>
      <c r="DA410" s="343">
        <f t="shared" si="17"/>
        <v>5.5</v>
      </c>
    </row>
    <row r="411" spans="1:105" ht="20" customHeight="1" x14ac:dyDescent="0.35">
      <c r="A411" s="301"/>
      <c r="B411" s="270" t="s">
        <v>979</v>
      </c>
      <c r="C411" s="270" t="s">
        <v>1366</v>
      </c>
      <c r="D411" s="270"/>
      <c r="E411" s="270" t="s">
        <v>34</v>
      </c>
      <c r="F411" s="270" t="s">
        <v>613</v>
      </c>
      <c r="G411" s="270"/>
      <c r="H411" s="298"/>
      <c r="I411" s="286"/>
      <c r="J411" s="286"/>
      <c r="K411" s="286"/>
      <c r="L411" s="286"/>
      <c r="M411" s="286"/>
      <c r="N411" s="286"/>
      <c r="O411" s="286"/>
      <c r="P411" s="286"/>
      <c r="Q411" s="286"/>
      <c r="R411" s="286"/>
      <c r="S411" s="286"/>
      <c r="T411" s="286"/>
      <c r="U411" s="286"/>
      <c r="V411" s="286"/>
      <c r="W411" s="286"/>
      <c r="X411" s="286"/>
      <c r="Y411" s="286"/>
      <c r="Z411" s="286"/>
      <c r="AA411" s="286"/>
      <c r="AB411" s="286"/>
      <c r="AC411" s="286"/>
      <c r="AD411" s="286"/>
      <c r="AE411" s="286"/>
      <c r="AF411" s="286"/>
      <c r="AG411" s="286"/>
      <c r="AH411" s="286"/>
      <c r="AI411" s="286"/>
      <c r="AJ411" s="286"/>
      <c r="AK411" s="287"/>
      <c r="AL411" s="288"/>
      <c r="AM411" s="287"/>
      <c r="AN411" s="287"/>
      <c r="AO411" s="287"/>
      <c r="AP411" s="286"/>
      <c r="AQ411" s="296"/>
      <c r="AR411" s="286"/>
      <c r="AS411" s="286"/>
      <c r="AT411" s="286"/>
      <c r="AU411" s="286"/>
      <c r="AV411" s="286"/>
      <c r="AW411" s="286"/>
      <c r="AX411" s="286"/>
      <c r="AY411" s="286"/>
      <c r="AZ411" s="286"/>
      <c r="BA411" s="286"/>
      <c r="BB411" s="286"/>
      <c r="BC411" s="286"/>
      <c r="BD411" s="287"/>
      <c r="BE411" s="287"/>
      <c r="BF411" s="287"/>
      <c r="BG411" s="287"/>
      <c r="BH411" s="287"/>
      <c r="BI411" s="287"/>
      <c r="BJ411" s="287"/>
      <c r="BK411" s="287"/>
      <c r="BL411" s="287"/>
      <c r="BM411" s="287"/>
      <c r="BN411" s="287"/>
      <c r="BO411" s="287"/>
      <c r="BP411" s="287"/>
      <c r="BQ411" s="287"/>
      <c r="BR411" s="287"/>
      <c r="BS411" s="287"/>
      <c r="BT411" s="287"/>
      <c r="BU411" s="287"/>
      <c r="BV411" s="287"/>
      <c r="BW411" s="287"/>
      <c r="BX411" s="286"/>
      <c r="BY411" s="289"/>
      <c r="BZ411" s="289"/>
      <c r="CA411" s="289"/>
      <c r="CB411" s="289"/>
      <c r="CC411" s="289"/>
      <c r="CD411" s="289"/>
      <c r="CE411" s="289"/>
      <c r="CF411" s="289"/>
      <c r="CG411" s="287"/>
      <c r="CH411" s="287"/>
      <c r="CI411" s="287"/>
      <c r="CJ411" s="287"/>
      <c r="CK411" s="287"/>
      <c r="CL411" s="287"/>
      <c r="CM411" s="287"/>
      <c r="CN411" s="287"/>
      <c r="CO411" s="287"/>
      <c r="CP411" s="287"/>
      <c r="CQ411" s="287"/>
      <c r="CR411" s="287"/>
      <c r="CS411" s="6"/>
      <c r="CT411" s="6"/>
      <c r="CU411" s="6"/>
      <c r="CV411" s="6"/>
      <c r="CW411" s="6"/>
      <c r="CX411" s="6"/>
      <c r="CY411" s="6"/>
      <c r="CZ411" s="6"/>
      <c r="DA411" s="343">
        <f t="shared" si="17"/>
        <v>0</v>
      </c>
    </row>
    <row r="412" spans="1:105" ht="20" customHeight="1" x14ac:dyDescent="0.35">
      <c r="A412" s="301"/>
      <c r="B412" s="270" t="s">
        <v>980</v>
      </c>
      <c r="C412" s="270" t="s">
        <v>1275</v>
      </c>
      <c r="D412" s="270" t="s">
        <v>604</v>
      </c>
      <c r="E412" s="270" t="s">
        <v>34</v>
      </c>
      <c r="F412" s="270" t="s">
        <v>1835</v>
      </c>
      <c r="G412" s="270"/>
      <c r="H412" s="298">
        <v>27</v>
      </c>
      <c r="I412" s="286"/>
      <c r="J412" s="286"/>
      <c r="K412" s="286"/>
      <c r="L412" s="286"/>
      <c r="M412" s="286"/>
      <c r="N412" s="286"/>
      <c r="O412" s="286"/>
      <c r="P412" s="286"/>
      <c r="Q412" s="286"/>
      <c r="R412" s="286"/>
      <c r="S412" s="286"/>
      <c r="T412" s="286"/>
      <c r="U412" s="286"/>
      <c r="V412" s="286"/>
      <c r="W412" s="286"/>
      <c r="X412" s="286"/>
      <c r="Y412" s="286"/>
      <c r="Z412" s="286"/>
      <c r="AA412" s="286"/>
      <c r="AB412" s="286">
        <v>32</v>
      </c>
      <c r="AC412" s="286"/>
      <c r="AD412" s="286"/>
      <c r="AE412" s="286"/>
      <c r="AF412" s="286"/>
      <c r="AG412" s="286"/>
      <c r="AH412" s="286"/>
      <c r="AI412" s="286"/>
      <c r="AJ412" s="286"/>
      <c r="AK412" s="287"/>
      <c r="AL412" s="288"/>
      <c r="AM412" s="287"/>
      <c r="AN412" s="287"/>
      <c r="AO412" s="287"/>
      <c r="AP412" s="286"/>
      <c r="AQ412" s="296"/>
      <c r="AR412" s="286"/>
      <c r="AS412" s="286"/>
      <c r="AT412" s="286"/>
      <c r="AU412" s="286"/>
      <c r="AV412" s="286"/>
      <c r="AW412" s="286"/>
      <c r="AX412" s="286"/>
      <c r="AY412" s="286"/>
      <c r="AZ412" s="286"/>
      <c r="BA412" s="286"/>
      <c r="BB412" s="286"/>
      <c r="BC412" s="286"/>
      <c r="BD412" s="287"/>
      <c r="BE412" s="287"/>
      <c r="BF412" s="287"/>
      <c r="BG412" s="287"/>
      <c r="BH412" s="287"/>
      <c r="BI412" s="287"/>
      <c r="BJ412" s="287"/>
      <c r="BK412" s="287"/>
      <c r="BL412" s="287"/>
      <c r="BM412" s="287"/>
      <c r="BN412" s="287"/>
      <c r="BO412" s="287"/>
      <c r="BP412" s="287"/>
      <c r="BQ412" s="287"/>
      <c r="BR412" s="287"/>
      <c r="BS412" s="287"/>
      <c r="BT412" s="287"/>
      <c r="BU412" s="287"/>
      <c r="BV412" s="287"/>
      <c r="BW412" s="287"/>
      <c r="BX412" s="286"/>
      <c r="BY412" s="289"/>
      <c r="BZ412" s="289"/>
      <c r="CA412" s="289"/>
      <c r="CB412" s="289"/>
      <c r="CC412" s="289"/>
      <c r="CD412" s="289"/>
      <c r="CE412" s="289"/>
      <c r="CF412" s="289"/>
      <c r="CG412" s="287"/>
      <c r="CH412" s="287"/>
      <c r="CI412" s="287"/>
      <c r="CJ412" s="287"/>
      <c r="CK412" s="287"/>
      <c r="CL412" s="287">
        <v>32</v>
      </c>
      <c r="CM412" s="287"/>
      <c r="CN412" s="287"/>
      <c r="CO412" s="287"/>
      <c r="CP412" s="287"/>
      <c r="CQ412" s="287"/>
      <c r="CR412" s="287"/>
      <c r="CS412" s="6"/>
      <c r="CT412" s="6"/>
      <c r="CU412" s="6"/>
      <c r="CV412" s="6"/>
      <c r="CW412" s="6"/>
      <c r="CX412" s="6"/>
      <c r="CY412" s="6"/>
      <c r="CZ412" s="6"/>
      <c r="DA412" s="343">
        <f t="shared" si="17"/>
        <v>27</v>
      </c>
    </row>
    <row r="413" spans="1:105" ht="20" customHeight="1" x14ac:dyDescent="0.35">
      <c r="A413" s="301" t="s">
        <v>1279</v>
      </c>
      <c r="B413" s="270" t="s">
        <v>981</v>
      </c>
      <c r="C413" s="270" t="s">
        <v>1365</v>
      </c>
      <c r="D413" s="270" t="s">
        <v>623</v>
      </c>
      <c r="E413" s="270" t="s">
        <v>34</v>
      </c>
      <c r="F413" s="270" t="s">
        <v>613</v>
      </c>
      <c r="G413" s="270"/>
      <c r="H413" s="298">
        <v>17.3</v>
      </c>
      <c r="I413" s="286">
        <v>23</v>
      </c>
      <c r="J413" s="286"/>
      <c r="K413" s="286"/>
      <c r="L413" s="286"/>
      <c r="M413" s="286"/>
      <c r="N413" s="286"/>
      <c r="O413" s="286"/>
      <c r="P413" s="286"/>
      <c r="Q413" s="286"/>
      <c r="R413" s="286"/>
      <c r="S413" s="286"/>
      <c r="T413" s="286"/>
      <c r="U413" s="286"/>
      <c r="V413" s="286"/>
      <c r="W413" s="286"/>
      <c r="X413" s="286"/>
      <c r="Y413" s="286"/>
      <c r="Z413" s="286"/>
      <c r="AA413" s="286"/>
      <c r="AB413" s="286"/>
      <c r="AC413" s="286"/>
      <c r="AD413" s="286"/>
      <c r="AE413" s="286"/>
      <c r="AF413" s="286"/>
      <c r="AG413" s="286"/>
      <c r="AH413" s="286"/>
      <c r="AI413" s="286"/>
      <c r="AJ413" s="286"/>
      <c r="AK413" s="287"/>
      <c r="AL413" s="288"/>
      <c r="AM413" s="287"/>
      <c r="AN413" s="287"/>
      <c r="AO413" s="287"/>
      <c r="AP413" s="286"/>
      <c r="AQ413" s="296"/>
      <c r="AR413" s="286"/>
      <c r="AS413" s="286"/>
      <c r="AT413" s="286"/>
      <c r="AU413" s="286"/>
      <c r="AV413" s="286"/>
      <c r="AW413" s="286"/>
      <c r="AX413" s="286"/>
      <c r="AY413" s="286"/>
      <c r="AZ413" s="286"/>
      <c r="BA413" s="286"/>
      <c r="BB413" s="286"/>
      <c r="BC413" s="286"/>
      <c r="BD413" s="287"/>
      <c r="BE413" s="287"/>
      <c r="BF413" s="287"/>
      <c r="BG413" s="287"/>
      <c r="BH413" s="287"/>
      <c r="BI413" s="287"/>
      <c r="BJ413" s="287"/>
      <c r="BK413" s="287"/>
      <c r="BL413" s="287"/>
      <c r="BM413" s="287"/>
      <c r="BN413" s="287"/>
      <c r="BO413" s="287"/>
      <c r="BP413" s="287"/>
      <c r="BQ413" s="287"/>
      <c r="BR413" s="287"/>
      <c r="BS413" s="287"/>
      <c r="BT413" s="287"/>
      <c r="BU413" s="287"/>
      <c r="BV413" s="287"/>
      <c r="BW413" s="287"/>
      <c r="BX413" s="286"/>
      <c r="BY413" s="289"/>
      <c r="BZ413" s="289"/>
      <c r="CA413" s="289"/>
      <c r="CB413" s="289"/>
      <c r="CC413" s="289"/>
      <c r="CD413" s="289"/>
      <c r="CE413" s="289"/>
      <c r="CF413" s="289"/>
      <c r="CG413" s="287"/>
      <c r="CH413" s="287"/>
      <c r="CI413" s="287"/>
      <c r="CJ413" s="287"/>
      <c r="CK413" s="287"/>
      <c r="CL413" s="287"/>
      <c r="CM413" s="287"/>
      <c r="CN413" s="287"/>
      <c r="CO413" s="287"/>
      <c r="CP413" s="287"/>
      <c r="CQ413" s="287"/>
      <c r="CR413" s="287"/>
      <c r="CS413" s="288">
        <v>23</v>
      </c>
      <c r="CT413" s="6"/>
      <c r="CU413" s="6"/>
      <c r="CV413" s="6"/>
      <c r="CW413" s="6"/>
      <c r="CX413" s="6"/>
      <c r="CY413" s="6"/>
      <c r="CZ413" s="6"/>
      <c r="DA413" s="343">
        <f t="shared" si="17"/>
        <v>17.3</v>
      </c>
    </row>
    <row r="414" spans="1:105" ht="20" customHeight="1" x14ac:dyDescent="0.35">
      <c r="A414" s="301"/>
      <c r="B414" s="270" t="s">
        <v>982</v>
      </c>
      <c r="C414" s="270" t="s">
        <v>983</v>
      </c>
      <c r="D414" s="270" t="s">
        <v>623</v>
      </c>
      <c r="E414" s="270" t="s">
        <v>34</v>
      </c>
      <c r="F414" s="270" t="s">
        <v>614</v>
      </c>
      <c r="G414" s="270"/>
      <c r="H414" s="298">
        <v>11.5</v>
      </c>
      <c r="I414" s="286"/>
      <c r="J414" s="286"/>
      <c r="K414" s="286"/>
      <c r="L414" s="286"/>
      <c r="M414" s="286"/>
      <c r="N414" s="286"/>
      <c r="O414" s="286"/>
      <c r="P414" s="286"/>
      <c r="Q414" s="286"/>
      <c r="R414" s="286"/>
      <c r="S414" s="286"/>
      <c r="T414" s="286"/>
      <c r="U414" s="286"/>
      <c r="V414" s="286"/>
      <c r="W414" s="286"/>
      <c r="X414" s="286"/>
      <c r="Y414" s="286"/>
      <c r="Z414" s="286"/>
      <c r="AA414" s="286"/>
      <c r="AB414" s="286"/>
      <c r="AC414" s="286"/>
      <c r="AD414" s="286">
        <v>14.8</v>
      </c>
      <c r="AE414" s="286"/>
      <c r="AF414" s="286"/>
      <c r="AG414" s="286"/>
      <c r="AH414" s="286"/>
      <c r="AI414" s="286"/>
      <c r="AJ414" s="286"/>
      <c r="AK414" s="287"/>
      <c r="AL414" s="288"/>
      <c r="AM414" s="287"/>
      <c r="AN414" s="287"/>
      <c r="AO414" s="287"/>
      <c r="AP414" s="286"/>
      <c r="AQ414" s="296"/>
      <c r="AR414" s="286"/>
      <c r="AS414" s="286"/>
      <c r="AT414" s="286"/>
      <c r="AU414" s="286"/>
      <c r="AV414" s="286"/>
      <c r="AW414" s="286"/>
      <c r="AX414" s="286"/>
      <c r="AY414" s="286"/>
      <c r="AZ414" s="286"/>
      <c r="BA414" s="286"/>
      <c r="BB414" s="286"/>
      <c r="BC414" s="286"/>
      <c r="BD414" s="287"/>
      <c r="BE414" s="287"/>
      <c r="BF414" s="287"/>
      <c r="BG414" s="288">
        <v>18</v>
      </c>
      <c r="BH414" s="287"/>
      <c r="BI414" s="287"/>
      <c r="BJ414" s="287"/>
      <c r="BK414" s="287"/>
      <c r="BL414" s="287"/>
      <c r="BM414" s="287"/>
      <c r="BN414" s="287"/>
      <c r="BO414" s="287"/>
      <c r="BP414" s="287"/>
      <c r="BQ414" s="287"/>
      <c r="BR414" s="287"/>
      <c r="BS414" s="287"/>
      <c r="BT414" s="287"/>
      <c r="BU414" s="287">
        <v>18</v>
      </c>
      <c r="BV414" s="287"/>
      <c r="BW414" s="287"/>
      <c r="BX414" s="286"/>
      <c r="BY414" s="289">
        <v>18</v>
      </c>
      <c r="BZ414" s="289">
        <v>0</v>
      </c>
      <c r="CA414" s="289"/>
      <c r="CB414" s="289"/>
      <c r="CC414" s="289"/>
      <c r="CD414" s="289"/>
      <c r="CE414" s="289"/>
      <c r="CF414" s="289"/>
      <c r="CG414" s="287"/>
      <c r="CH414" s="287"/>
      <c r="CI414" s="287"/>
      <c r="CJ414" s="287"/>
      <c r="CK414" s="287"/>
      <c r="CL414" s="287">
        <v>19</v>
      </c>
      <c r="CM414" s="287"/>
      <c r="CN414" s="287"/>
      <c r="CO414" s="287"/>
      <c r="CP414" s="287"/>
      <c r="CQ414" s="287"/>
      <c r="CR414" s="287"/>
      <c r="CS414" s="6"/>
      <c r="CT414" s="6"/>
      <c r="CU414" s="6"/>
      <c r="CV414" s="6"/>
      <c r="CW414" s="6"/>
      <c r="CX414" s="6"/>
      <c r="CY414" s="6"/>
      <c r="CZ414" s="6"/>
      <c r="DA414" s="343">
        <f t="shared" si="17"/>
        <v>11.5</v>
      </c>
    </row>
    <row r="415" spans="1:105" ht="20" customHeight="1" x14ac:dyDescent="0.35">
      <c r="A415" s="301"/>
      <c r="B415" s="270" t="s">
        <v>1072</v>
      </c>
      <c r="C415" s="270" t="s">
        <v>1071</v>
      </c>
      <c r="D415" s="297" t="s">
        <v>34</v>
      </c>
      <c r="E415" s="270" t="s">
        <v>960</v>
      </c>
      <c r="F415" s="270" t="s">
        <v>1834</v>
      </c>
      <c r="G415" s="270" t="s">
        <v>36</v>
      </c>
      <c r="H415" s="324">
        <v>32</v>
      </c>
      <c r="I415" s="287"/>
      <c r="J415" s="286"/>
      <c r="K415" s="286"/>
      <c r="L415" s="286"/>
      <c r="M415" s="286"/>
      <c r="N415" s="286"/>
      <c r="O415" s="286"/>
      <c r="P415" s="292"/>
      <c r="Q415" s="286"/>
      <c r="R415" s="286"/>
      <c r="S415" s="286"/>
      <c r="T415" s="286"/>
      <c r="U415" s="286"/>
      <c r="V415" s="286"/>
      <c r="W415" s="286"/>
      <c r="X415" s="286"/>
      <c r="Y415" s="286"/>
      <c r="Z415" s="286"/>
      <c r="AA415" s="286"/>
      <c r="AB415" s="286"/>
      <c r="AC415" s="286"/>
      <c r="AD415" s="286"/>
      <c r="AE415" s="286"/>
      <c r="AF415" s="286"/>
      <c r="AG415" s="286"/>
      <c r="AH415" s="286"/>
      <c r="AI415" s="286"/>
      <c r="AJ415" s="286"/>
      <c r="AK415" s="287"/>
      <c r="AL415" s="288"/>
      <c r="AM415" s="287"/>
      <c r="AN415" s="287"/>
      <c r="AO415" s="287"/>
      <c r="AP415" s="286"/>
      <c r="AQ415" s="296"/>
      <c r="AR415" s="286"/>
      <c r="AS415" s="286"/>
      <c r="AT415" s="286"/>
      <c r="AU415" s="286"/>
      <c r="AV415" s="286"/>
      <c r="AW415" s="286"/>
      <c r="AX415" s="286"/>
      <c r="AY415" s="286"/>
      <c r="AZ415" s="286"/>
      <c r="BA415" s="286"/>
      <c r="BB415" s="286"/>
      <c r="BC415" s="286"/>
      <c r="BD415" s="287"/>
      <c r="BE415" s="287"/>
      <c r="BF415" s="287"/>
      <c r="BG415" s="288">
        <v>38</v>
      </c>
      <c r="BH415" s="287"/>
      <c r="BI415" s="287"/>
      <c r="BJ415" s="287"/>
      <c r="BK415" s="287"/>
      <c r="BL415" s="287"/>
      <c r="BM415" s="287"/>
      <c r="BN415" s="287"/>
      <c r="BO415" s="287"/>
      <c r="BP415" s="287"/>
      <c r="BQ415" s="287"/>
      <c r="BR415" s="287"/>
      <c r="BS415" s="287"/>
      <c r="BT415" s="287"/>
      <c r="BU415" s="287"/>
      <c r="BV415" s="287"/>
      <c r="BW415" s="287"/>
      <c r="BX415" s="286"/>
      <c r="BY415" s="289"/>
      <c r="BZ415" s="289">
        <v>40</v>
      </c>
      <c r="CA415" s="289"/>
      <c r="CB415" s="289"/>
      <c r="CC415" s="289"/>
      <c r="CD415" s="289"/>
      <c r="CE415" s="289"/>
      <c r="CF415" s="289"/>
      <c r="CG415" s="287"/>
      <c r="CH415" s="287"/>
      <c r="CI415" s="287"/>
      <c r="CJ415" s="287"/>
      <c r="CK415" s="287"/>
      <c r="CL415" s="287"/>
      <c r="CM415" s="287"/>
      <c r="CN415" s="287"/>
      <c r="CO415" s="287"/>
      <c r="CP415" s="287"/>
      <c r="CQ415" s="287"/>
      <c r="CR415" s="287"/>
      <c r="CS415" s="6"/>
      <c r="CT415" s="6"/>
      <c r="CU415" s="6"/>
      <c r="CV415" s="6"/>
      <c r="CW415" s="6"/>
      <c r="CX415" s="6"/>
      <c r="CY415" s="6"/>
      <c r="CZ415" s="6"/>
      <c r="DA415" s="343">
        <f t="shared" si="17"/>
        <v>32</v>
      </c>
    </row>
    <row r="416" spans="1:105" ht="20" customHeight="1" x14ac:dyDescent="0.35">
      <c r="A416" s="301"/>
      <c r="B416" s="270" t="s">
        <v>1129</v>
      </c>
      <c r="C416" s="270" t="s">
        <v>1526</v>
      </c>
      <c r="D416" s="270" t="s">
        <v>632</v>
      </c>
      <c r="E416" s="270" t="s">
        <v>1136</v>
      </c>
      <c r="F416" s="270" t="s">
        <v>72</v>
      </c>
      <c r="G416" s="270" t="s">
        <v>42</v>
      </c>
      <c r="H416" s="324">
        <f>48/6</f>
        <v>8</v>
      </c>
      <c r="I416" s="287"/>
      <c r="J416" s="292"/>
      <c r="K416" s="286"/>
      <c r="L416" s="286"/>
      <c r="M416" s="286"/>
      <c r="N416" s="286"/>
      <c r="O416" s="286"/>
      <c r="P416" s="292"/>
      <c r="Q416" s="286">
        <v>26</v>
      </c>
      <c r="R416" s="286"/>
      <c r="S416" s="286"/>
      <c r="T416" s="286">
        <v>9.5</v>
      </c>
      <c r="U416" s="286">
        <v>9.5</v>
      </c>
      <c r="V416" s="286"/>
      <c r="W416" s="286"/>
      <c r="X416" s="286"/>
      <c r="Y416" s="286">
        <v>10</v>
      </c>
      <c r="Z416" s="286"/>
      <c r="AA416" s="286"/>
      <c r="AB416" s="286">
        <v>10</v>
      </c>
      <c r="AC416" s="286"/>
      <c r="AD416" s="286"/>
      <c r="AE416" s="286"/>
      <c r="AF416" s="286"/>
      <c r="AG416" s="286"/>
      <c r="AH416" s="286"/>
      <c r="AI416" s="286">
        <v>9.5</v>
      </c>
      <c r="AJ416" s="286"/>
      <c r="AK416" s="287"/>
      <c r="AL416" s="288">
        <v>9.5</v>
      </c>
      <c r="AM416" s="287"/>
      <c r="AN416" s="287"/>
      <c r="AO416" s="288">
        <v>9.5</v>
      </c>
      <c r="AP416" s="286"/>
      <c r="AQ416" s="296"/>
      <c r="AR416" s="286"/>
      <c r="AS416" s="286">
        <v>9.5</v>
      </c>
      <c r="AT416" s="286">
        <v>9.5</v>
      </c>
      <c r="AU416" s="286">
        <v>9.5</v>
      </c>
      <c r="AV416" s="292"/>
      <c r="AW416" s="292">
        <v>9.5</v>
      </c>
      <c r="AX416" s="292">
        <v>9.5</v>
      </c>
      <c r="AY416" s="292">
        <v>9.5</v>
      </c>
      <c r="AZ416" s="292">
        <v>9.5</v>
      </c>
      <c r="BA416" s="292">
        <v>9.5</v>
      </c>
      <c r="BB416" s="292">
        <v>9.5</v>
      </c>
      <c r="BC416" s="286">
        <v>9.5</v>
      </c>
      <c r="BD416" s="287"/>
      <c r="BE416" s="287">
        <v>9.5</v>
      </c>
      <c r="BF416" s="287"/>
      <c r="BG416" s="288">
        <v>10</v>
      </c>
      <c r="BH416" s="287"/>
      <c r="BI416" s="287"/>
      <c r="BJ416" s="287"/>
      <c r="BK416" s="287"/>
      <c r="BL416" s="287"/>
      <c r="BM416" s="287"/>
      <c r="BN416" s="287"/>
      <c r="BO416" s="287"/>
      <c r="BP416" s="287"/>
      <c r="BQ416" s="287"/>
      <c r="BR416" s="287"/>
      <c r="BS416" s="287"/>
      <c r="BT416" s="287"/>
      <c r="BU416" s="287"/>
      <c r="BV416" s="287"/>
      <c r="BW416" s="287"/>
      <c r="BX416" s="286">
        <v>9.5</v>
      </c>
      <c r="BY416" s="289"/>
      <c r="BZ416" s="289"/>
      <c r="CA416" s="289"/>
      <c r="CB416" s="289"/>
      <c r="CC416" s="289"/>
      <c r="CD416" s="289"/>
      <c r="CE416" s="289"/>
      <c r="CF416" s="289"/>
      <c r="CG416" s="287"/>
      <c r="CH416" s="287"/>
      <c r="CI416" s="287"/>
      <c r="CJ416" s="287"/>
      <c r="CK416" s="287"/>
      <c r="CL416" s="287"/>
      <c r="CM416" s="292">
        <v>9.5</v>
      </c>
      <c r="CN416" s="287">
        <v>9.5</v>
      </c>
      <c r="CO416" s="292">
        <v>9.5</v>
      </c>
      <c r="CP416" s="287"/>
      <c r="CQ416" s="287"/>
      <c r="CR416" s="287"/>
      <c r="CS416" s="6"/>
      <c r="CT416" s="6"/>
      <c r="CU416" s="6"/>
      <c r="CV416" s="6"/>
      <c r="CW416" s="6"/>
      <c r="CX416" s="6"/>
      <c r="CY416" s="6"/>
      <c r="CZ416" s="6"/>
      <c r="DA416" s="343">
        <f t="shared" si="17"/>
        <v>8</v>
      </c>
    </row>
    <row r="417" spans="1:105" ht="20" customHeight="1" x14ac:dyDescent="0.35">
      <c r="A417" s="301"/>
      <c r="B417" s="270" t="s">
        <v>1134</v>
      </c>
      <c r="C417" s="270" t="s">
        <v>1442</v>
      </c>
      <c r="D417" s="297" t="s">
        <v>630</v>
      </c>
      <c r="E417" s="270" t="s">
        <v>1136</v>
      </c>
      <c r="F417" s="270" t="s">
        <v>1137</v>
      </c>
      <c r="G417" s="270" t="s">
        <v>31</v>
      </c>
      <c r="H417" s="324">
        <v>70</v>
      </c>
      <c r="I417" s="287"/>
      <c r="J417" s="286"/>
      <c r="K417" s="286"/>
      <c r="L417" s="286"/>
      <c r="M417" s="286"/>
      <c r="N417" s="286"/>
      <c r="O417" s="286"/>
      <c r="P417" s="292"/>
      <c r="Q417" s="286"/>
      <c r="R417" s="286"/>
      <c r="S417" s="286"/>
      <c r="T417" s="286"/>
      <c r="U417" s="286"/>
      <c r="V417" s="286"/>
      <c r="W417" s="286"/>
      <c r="X417" s="286"/>
      <c r="Y417" s="286"/>
      <c r="Z417" s="286"/>
      <c r="AA417" s="286"/>
      <c r="AB417" s="286"/>
      <c r="AC417" s="286"/>
      <c r="AD417" s="286"/>
      <c r="AE417" s="286"/>
      <c r="AF417" s="286"/>
      <c r="AG417" s="286"/>
      <c r="AH417" s="286"/>
      <c r="AI417" s="286"/>
      <c r="AJ417" s="286"/>
      <c r="AK417" s="287"/>
      <c r="AL417" s="288"/>
      <c r="AM417" s="287"/>
      <c r="AN417" s="287"/>
      <c r="AO417" s="287"/>
      <c r="AP417" s="286"/>
      <c r="AQ417" s="296"/>
      <c r="AR417" s="286"/>
      <c r="AS417" s="286"/>
      <c r="AT417" s="286"/>
      <c r="AU417" s="286"/>
      <c r="AV417" s="286"/>
      <c r="AW417" s="286"/>
      <c r="AX417" s="286"/>
      <c r="AY417" s="286"/>
      <c r="AZ417" s="286"/>
      <c r="BA417" s="286"/>
      <c r="BB417" s="286"/>
      <c r="BC417" s="286"/>
      <c r="BD417" s="287"/>
      <c r="BE417" s="287"/>
      <c r="BF417" s="287"/>
      <c r="BG417" s="287"/>
      <c r="BH417" s="287"/>
      <c r="BI417" s="287"/>
      <c r="BJ417" s="287"/>
      <c r="BK417" s="287"/>
      <c r="BL417" s="287"/>
      <c r="BM417" s="287"/>
      <c r="BN417" s="287"/>
      <c r="BO417" s="287"/>
      <c r="BP417" s="287"/>
      <c r="BQ417" s="287"/>
      <c r="BR417" s="287"/>
      <c r="BS417" s="287"/>
      <c r="BT417" s="287"/>
      <c r="BU417" s="287"/>
      <c r="BV417" s="287"/>
      <c r="BW417" s="287"/>
      <c r="BX417" s="286"/>
      <c r="BY417" s="289"/>
      <c r="BZ417" s="289"/>
      <c r="CA417" s="289"/>
      <c r="CB417" s="289"/>
      <c r="CC417" s="289"/>
      <c r="CD417" s="289"/>
      <c r="CE417" s="289"/>
      <c r="CF417" s="289"/>
      <c r="CG417" s="287"/>
      <c r="CH417" s="287"/>
      <c r="CI417" s="287"/>
      <c r="CJ417" s="287"/>
      <c r="CK417" s="287"/>
      <c r="CL417" s="287"/>
      <c r="CM417" s="287"/>
      <c r="CN417" s="287"/>
      <c r="CO417" s="287"/>
      <c r="CP417" s="287"/>
      <c r="CQ417" s="287"/>
      <c r="CR417" s="287"/>
      <c r="CS417" s="6"/>
      <c r="CT417" s="6"/>
      <c r="CU417" s="6"/>
      <c r="CV417" s="6"/>
      <c r="CW417" s="6"/>
      <c r="CX417" s="6"/>
      <c r="CY417" s="6"/>
      <c r="CZ417" s="6"/>
      <c r="DA417" s="343">
        <f t="shared" si="17"/>
        <v>70</v>
      </c>
    </row>
    <row r="418" spans="1:105" ht="20" customHeight="1" x14ac:dyDescent="0.35">
      <c r="A418" s="301"/>
      <c r="B418" s="270" t="s">
        <v>1135</v>
      </c>
      <c r="C418" s="270" t="s">
        <v>1442</v>
      </c>
      <c r="D418" s="297" t="s">
        <v>630</v>
      </c>
      <c r="E418" s="270" t="s">
        <v>1136</v>
      </c>
      <c r="F418" s="270" t="s">
        <v>1138</v>
      </c>
      <c r="G418" s="270" t="s">
        <v>42</v>
      </c>
      <c r="H418" s="324">
        <f>H417/6</f>
        <v>11.666666666666666</v>
      </c>
      <c r="I418" s="287"/>
      <c r="J418" s="286"/>
      <c r="K418" s="286"/>
      <c r="L418" s="286"/>
      <c r="M418" s="286"/>
      <c r="N418" s="286"/>
      <c r="O418" s="286"/>
      <c r="P418" s="292"/>
      <c r="Q418" s="286"/>
      <c r="R418" s="286"/>
      <c r="S418" s="286"/>
      <c r="T418" s="286"/>
      <c r="U418" s="286"/>
      <c r="V418" s="286"/>
      <c r="W418" s="286"/>
      <c r="X418" s="286"/>
      <c r="Y418" s="286"/>
      <c r="Z418" s="286"/>
      <c r="AA418" s="286"/>
      <c r="AB418" s="286"/>
      <c r="AC418" s="286"/>
      <c r="AD418" s="286"/>
      <c r="AE418" s="286"/>
      <c r="AF418" s="286"/>
      <c r="AG418" s="286"/>
      <c r="AH418" s="286"/>
      <c r="AI418" s="286"/>
      <c r="AJ418" s="286"/>
      <c r="AK418" s="287"/>
      <c r="AL418" s="288"/>
      <c r="AM418" s="287"/>
      <c r="AN418" s="287"/>
      <c r="AO418" s="287"/>
      <c r="AP418" s="286"/>
      <c r="AQ418" s="296"/>
      <c r="AR418" s="286"/>
      <c r="AS418" s="286"/>
      <c r="AT418" s="286"/>
      <c r="AU418" s="286"/>
      <c r="AV418" s="286"/>
      <c r="AW418" s="286"/>
      <c r="AX418" s="286"/>
      <c r="AY418" s="286"/>
      <c r="AZ418" s="286"/>
      <c r="BA418" s="286"/>
      <c r="BB418" s="286"/>
      <c r="BC418" s="286"/>
      <c r="BD418" s="287"/>
      <c r="BE418" s="287"/>
      <c r="BF418" s="287"/>
      <c r="BG418" s="287"/>
      <c r="BH418" s="287"/>
      <c r="BI418" s="287"/>
      <c r="BJ418" s="287"/>
      <c r="BK418" s="287"/>
      <c r="BL418" s="287"/>
      <c r="BM418" s="287"/>
      <c r="BN418" s="287"/>
      <c r="BO418" s="287"/>
      <c r="BP418" s="287"/>
      <c r="BQ418" s="287"/>
      <c r="BR418" s="287"/>
      <c r="BS418" s="287"/>
      <c r="BT418" s="287"/>
      <c r="BU418" s="287"/>
      <c r="BV418" s="287"/>
      <c r="BW418" s="287"/>
      <c r="BX418" s="286"/>
      <c r="BY418" s="289"/>
      <c r="BZ418" s="289"/>
      <c r="CA418" s="289"/>
      <c r="CB418" s="289"/>
      <c r="CC418" s="289"/>
      <c r="CD418" s="289"/>
      <c r="CE418" s="289"/>
      <c r="CF418" s="289"/>
      <c r="CG418" s="287"/>
      <c r="CH418" s="287"/>
      <c r="CI418" s="287"/>
      <c r="CJ418" s="287"/>
      <c r="CK418" s="287"/>
      <c r="CL418" s="287"/>
      <c r="CM418" s="287"/>
      <c r="CN418" s="287"/>
      <c r="CO418" s="287"/>
      <c r="CP418" s="287"/>
      <c r="CQ418" s="287"/>
      <c r="CR418" s="287"/>
      <c r="CS418" s="6"/>
      <c r="CT418" s="6"/>
      <c r="CU418" s="6"/>
      <c r="CV418" s="6"/>
      <c r="CW418" s="6"/>
      <c r="CX418" s="6"/>
      <c r="CY418" s="6"/>
      <c r="CZ418" s="6"/>
      <c r="DA418" s="343">
        <f t="shared" si="17"/>
        <v>11.666666666666666</v>
      </c>
    </row>
    <row r="419" spans="1:105" ht="20" customHeight="1" x14ac:dyDescent="0.35">
      <c r="A419" s="301"/>
      <c r="B419" s="270" t="s">
        <v>1153</v>
      </c>
      <c r="C419" s="270" t="s">
        <v>1443</v>
      </c>
      <c r="D419" s="297" t="s">
        <v>1402</v>
      </c>
      <c r="E419" s="270" t="s">
        <v>960</v>
      </c>
      <c r="F419" s="270" t="s">
        <v>2025</v>
      </c>
      <c r="G419" s="270" t="s">
        <v>33</v>
      </c>
      <c r="H419" s="298">
        <v>18</v>
      </c>
      <c r="I419" s="292"/>
      <c r="J419" s="292">
        <v>25</v>
      </c>
      <c r="K419" s="286"/>
      <c r="L419" s="286"/>
      <c r="M419" s="286"/>
      <c r="N419" s="286">
        <v>26</v>
      </c>
      <c r="O419" s="286"/>
      <c r="P419" s="292"/>
      <c r="Q419" s="286">
        <v>26</v>
      </c>
      <c r="R419" s="286"/>
      <c r="S419" s="286"/>
      <c r="T419" s="286">
        <v>25</v>
      </c>
      <c r="U419" s="286"/>
      <c r="V419" s="286"/>
      <c r="W419" s="286"/>
      <c r="X419" s="286"/>
      <c r="Y419" s="286"/>
      <c r="Z419" s="286"/>
      <c r="AA419" s="286"/>
      <c r="AB419" s="286"/>
      <c r="AC419" s="286"/>
      <c r="AD419" s="286"/>
      <c r="AE419" s="286"/>
      <c r="AF419" s="286"/>
      <c r="AG419" s="286"/>
      <c r="AH419" s="286"/>
      <c r="AI419" s="286">
        <v>25</v>
      </c>
      <c r="AJ419" s="286"/>
      <c r="AK419" s="287"/>
      <c r="AL419" s="288"/>
      <c r="AM419" s="287">
        <v>25</v>
      </c>
      <c r="AN419" s="287"/>
      <c r="AO419" s="286">
        <v>25</v>
      </c>
      <c r="AP419" s="286">
        <v>25</v>
      </c>
      <c r="AQ419" s="296"/>
      <c r="AR419" s="286">
        <v>25</v>
      </c>
      <c r="AS419" s="286">
        <v>25</v>
      </c>
      <c r="AT419" s="286">
        <v>25</v>
      </c>
      <c r="AU419" s="286">
        <v>25</v>
      </c>
      <c r="AV419" s="286">
        <v>25</v>
      </c>
      <c r="AW419" s="286">
        <v>25</v>
      </c>
      <c r="AX419" s="286">
        <v>25</v>
      </c>
      <c r="AY419" s="286">
        <v>25</v>
      </c>
      <c r="AZ419" s="286">
        <v>25</v>
      </c>
      <c r="BA419" s="286">
        <v>25</v>
      </c>
      <c r="BB419" s="286">
        <v>25</v>
      </c>
      <c r="BC419" s="286">
        <v>25</v>
      </c>
      <c r="BD419" s="287"/>
      <c r="BE419" s="287"/>
      <c r="BF419" s="287"/>
      <c r="BG419" s="288">
        <v>23</v>
      </c>
      <c r="BH419" s="287"/>
      <c r="BI419" s="287"/>
      <c r="BJ419" s="287"/>
      <c r="BK419" s="287"/>
      <c r="BL419" s="287"/>
      <c r="BM419" s="287"/>
      <c r="BN419" s="287"/>
      <c r="BO419" s="287"/>
      <c r="BP419" s="287"/>
      <c r="BQ419" s="287"/>
      <c r="BR419" s="287"/>
      <c r="BS419" s="287"/>
      <c r="BT419" s="287"/>
      <c r="BU419" s="287"/>
      <c r="BV419" s="287"/>
      <c r="BW419" s="287"/>
      <c r="BX419" s="286">
        <v>25</v>
      </c>
      <c r="BY419" s="289"/>
      <c r="BZ419" s="289"/>
      <c r="CA419" s="289"/>
      <c r="CB419" s="289"/>
      <c r="CC419" s="289"/>
      <c r="CD419" s="289"/>
      <c r="CE419" s="289"/>
      <c r="CF419" s="289"/>
      <c r="CG419" s="287"/>
      <c r="CH419" s="287"/>
      <c r="CI419" s="287"/>
      <c r="CJ419" s="287"/>
      <c r="CK419" s="287"/>
      <c r="CL419" s="287"/>
      <c r="CM419" s="292">
        <v>25</v>
      </c>
      <c r="CN419" s="287"/>
      <c r="CO419" s="292">
        <v>25</v>
      </c>
      <c r="CP419" s="287"/>
      <c r="CQ419" s="287"/>
      <c r="CR419" s="287">
        <v>26</v>
      </c>
      <c r="CS419" s="6"/>
      <c r="CT419" s="6"/>
      <c r="CU419" s="6"/>
      <c r="CV419" s="6"/>
      <c r="CW419" s="6"/>
      <c r="CX419" s="6"/>
      <c r="CY419" s="6"/>
      <c r="CZ419" s="6"/>
      <c r="DA419" s="343">
        <f t="shared" si="17"/>
        <v>18</v>
      </c>
    </row>
    <row r="420" spans="1:105" ht="20" customHeight="1" x14ac:dyDescent="0.35">
      <c r="A420" s="301"/>
      <c r="B420" s="270" t="s">
        <v>1180</v>
      </c>
      <c r="C420" s="270" t="s">
        <v>1630</v>
      </c>
      <c r="D420" s="297" t="s">
        <v>630</v>
      </c>
      <c r="E420" s="270" t="s">
        <v>1181</v>
      </c>
      <c r="F420" s="270" t="s">
        <v>2026</v>
      </c>
      <c r="G420" s="270" t="s">
        <v>33</v>
      </c>
      <c r="H420" s="298">
        <v>27</v>
      </c>
      <c r="I420" s="292">
        <v>34</v>
      </c>
      <c r="J420" s="292">
        <v>34</v>
      </c>
      <c r="K420" s="286"/>
      <c r="L420" s="286"/>
      <c r="M420" s="286"/>
      <c r="N420" s="286"/>
      <c r="O420" s="286"/>
      <c r="P420" s="292"/>
      <c r="Q420" s="286"/>
      <c r="R420" s="286"/>
      <c r="S420" s="286"/>
      <c r="T420" s="286">
        <v>34</v>
      </c>
      <c r="U420" s="286"/>
      <c r="V420" s="286"/>
      <c r="W420" s="286"/>
      <c r="X420" s="286"/>
      <c r="Y420" s="286"/>
      <c r="Z420" s="286"/>
      <c r="AA420" s="286"/>
      <c r="AB420" s="286"/>
      <c r="AC420" s="286">
        <v>34</v>
      </c>
      <c r="AD420" s="286"/>
      <c r="AE420" s="286"/>
      <c r="AF420" s="286"/>
      <c r="AG420" s="286"/>
      <c r="AH420" s="286"/>
      <c r="AI420" s="286">
        <v>34</v>
      </c>
      <c r="AJ420" s="286"/>
      <c r="AK420" s="295"/>
      <c r="AL420" s="288"/>
      <c r="AM420" s="287"/>
      <c r="AN420" s="287"/>
      <c r="AO420" s="286">
        <v>34</v>
      </c>
      <c r="AP420" s="286">
        <v>34</v>
      </c>
      <c r="AQ420" s="296"/>
      <c r="AR420" s="286">
        <v>34</v>
      </c>
      <c r="AS420" s="286">
        <v>34</v>
      </c>
      <c r="AT420" s="286">
        <v>34</v>
      </c>
      <c r="AU420" s="286">
        <v>34</v>
      </c>
      <c r="AV420" s="286">
        <v>34</v>
      </c>
      <c r="AW420" s="286">
        <v>34</v>
      </c>
      <c r="AX420" s="286">
        <v>34</v>
      </c>
      <c r="AY420" s="286">
        <v>34</v>
      </c>
      <c r="AZ420" s="286">
        <v>34</v>
      </c>
      <c r="BA420" s="286">
        <v>34</v>
      </c>
      <c r="BB420" s="286">
        <v>34</v>
      </c>
      <c r="BC420" s="286">
        <v>34</v>
      </c>
      <c r="BD420" s="287"/>
      <c r="BE420" s="287"/>
      <c r="BF420" s="287"/>
      <c r="BG420" s="288">
        <v>34</v>
      </c>
      <c r="BH420" s="287"/>
      <c r="BI420" s="287"/>
      <c r="BJ420" s="287"/>
      <c r="BK420" s="287"/>
      <c r="BL420" s="287"/>
      <c r="BM420" s="287"/>
      <c r="BN420" s="287"/>
      <c r="BO420" s="287"/>
      <c r="BP420" s="287"/>
      <c r="BQ420" s="287"/>
      <c r="BR420" s="287"/>
      <c r="BS420" s="287"/>
      <c r="BT420" s="287"/>
      <c r="BU420" s="287"/>
      <c r="BV420" s="287"/>
      <c r="BW420" s="287"/>
      <c r="BX420" s="286">
        <v>34</v>
      </c>
      <c r="BY420" s="289"/>
      <c r="BZ420" s="289"/>
      <c r="CA420" s="289"/>
      <c r="CB420" s="289"/>
      <c r="CC420" s="289"/>
      <c r="CD420" s="289"/>
      <c r="CE420" s="289"/>
      <c r="CF420" s="289"/>
      <c r="CG420" s="287"/>
      <c r="CH420" s="287"/>
      <c r="CI420" s="287"/>
      <c r="CJ420" s="287"/>
      <c r="CK420" s="287"/>
      <c r="CL420" s="287"/>
      <c r="CM420" s="287"/>
      <c r="CN420" s="287"/>
      <c r="CO420" s="287"/>
      <c r="CP420" s="287"/>
      <c r="CQ420" s="287"/>
      <c r="CR420" s="287">
        <v>34</v>
      </c>
      <c r="CS420" s="288">
        <v>34</v>
      </c>
      <c r="CT420" s="6"/>
      <c r="CU420" s="6"/>
      <c r="CV420" s="6"/>
      <c r="CW420" s="6"/>
      <c r="CX420" s="6"/>
      <c r="CY420" s="6"/>
      <c r="CZ420" s="6"/>
      <c r="DA420" s="343">
        <f t="shared" si="17"/>
        <v>27</v>
      </c>
    </row>
    <row r="421" spans="1:105" ht="20" customHeight="1" x14ac:dyDescent="0.35">
      <c r="A421" s="301"/>
      <c r="B421" s="270" t="s">
        <v>1215</v>
      </c>
      <c r="C421" s="270" t="s">
        <v>1981</v>
      </c>
      <c r="D421" s="270" t="s">
        <v>1980</v>
      </c>
      <c r="E421" s="270" t="s">
        <v>960</v>
      </c>
      <c r="F421" s="270" t="s">
        <v>1982</v>
      </c>
      <c r="G421" s="270" t="s">
        <v>36</v>
      </c>
      <c r="H421" s="298">
        <v>26</v>
      </c>
      <c r="I421" s="292"/>
      <c r="J421" s="286">
        <v>35</v>
      </c>
      <c r="K421" s="286"/>
      <c r="L421" s="286"/>
      <c r="M421" s="286"/>
      <c r="N421" s="286"/>
      <c r="O421" s="286"/>
      <c r="P421" s="292"/>
      <c r="Q421" s="286"/>
      <c r="R421" s="286"/>
      <c r="S421" s="286"/>
      <c r="T421" s="286"/>
      <c r="U421" s="286"/>
      <c r="V421" s="286"/>
      <c r="W421" s="286"/>
      <c r="X421" s="286"/>
      <c r="Y421" s="286"/>
      <c r="Z421" s="286"/>
      <c r="AA421" s="286"/>
      <c r="AB421" s="286"/>
      <c r="AC421" s="286"/>
      <c r="AD421" s="286"/>
      <c r="AE421" s="286"/>
      <c r="AF421" s="286"/>
      <c r="AG421" s="286"/>
      <c r="AH421" s="286"/>
      <c r="AI421" s="286"/>
      <c r="AJ421" s="286"/>
      <c r="AK421" s="287"/>
      <c r="AL421" s="288"/>
      <c r="AM421" s="287"/>
      <c r="AN421" s="287"/>
      <c r="AO421" s="286"/>
      <c r="AP421" s="286"/>
      <c r="AQ421" s="296"/>
      <c r="AR421" s="286"/>
      <c r="AS421" s="286"/>
      <c r="AT421" s="286"/>
      <c r="AU421" s="286"/>
      <c r="AV421" s="286"/>
      <c r="AW421" s="286"/>
      <c r="AX421" s="286"/>
      <c r="AY421" s="286"/>
      <c r="AZ421" s="286"/>
      <c r="BA421" s="286"/>
      <c r="BB421" s="286"/>
      <c r="BC421" s="286"/>
      <c r="BD421" s="287"/>
      <c r="BE421" s="287"/>
      <c r="BF421" s="287"/>
      <c r="BG421" s="287"/>
      <c r="BH421" s="286">
        <v>35</v>
      </c>
      <c r="BI421" s="287"/>
      <c r="BJ421" s="287"/>
      <c r="BK421" s="287"/>
      <c r="BL421" s="287"/>
      <c r="BM421" s="287"/>
      <c r="BN421" s="287"/>
      <c r="BO421" s="287"/>
      <c r="BP421" s="287"/>
      <c r="BQ421" s="287"/>
      <c r="BR421" s="287"/>
      <c r="BS421" s="287"/>
      <c r="BT421" s="287"/>
      <c r="BU421" s="287"/>
      <c r="BV421" s="287"/>
      <c r="BW421" s="287"/>
      <c r="BX421" s="286"/>
      <c r="BY421" s="289"/>
      <c r="BZ421" s="289"/>
      <c r="CA421" s="289"/>
      <c r="CB421" s="289"/>
      <c r="CC421" s="289"/>
      <c r="CD421" s="289"/>
      <c r="CE421" s="289"/>
      <c r="CF421" s="289"/>
      <c r="CG421" s="287"/>
      <c r="CH421" s="287"/>
      <c r="CI421" s="287"/>
      <c r="CJ421" s="287"/>
      <c r="CK421" s="287"/>
      <c r="CL421" s="287"/>
      <c r="CM421" s="287"/>
      <c r="CN421" s="287"/>
      <c r="CO421" s="286">
        <v>35</v>
      </c>
      <c r="CP421" s="287"/>
      <c r="CQ421" s="287"/>
      <c r="CR421" s="287"/>
      <c r="CS421" s="6"/>
      <c r="CT421" s="6"/>
      <c r="CU421" s="6"/>
      <c r="CV421" s="6"/>
      <c r="CW421" s="6"/>
      <c r="CX421" s="6"/>
      <c r="CY421" s="6"/>
      <c r="CZ421" s="6"/>
      <c r="DA421" s="343">
        <f t="shared" si="17"/>
        <v>26</v>
      </c>
    </row>
    <row r="422" spans="1:105" ht="20" customHeight="1" x14ac:dyDescent="0.35">
      <c r="A422" s="301"/>
      <c r="B422" s="270" t="s">
        <v>1223</v>
      </c>
      <c r="C422" s="270" t="s">
        <v>2040</v>
      </c>
      <c r="D422" s="297" t="s">
        <v>1402</v>
      </c>
      <c r="E422" s="270" t="s">
        <v>960</v>
      </c>
      <c r="F422" s="270" t="s">
        <v>2025</v>
      </c>
      <c r="G422" s="270" t="s">
        <v>33</v>
      </c>
      <c r="H422" s="298">
        <v>36</v>
      </c>
      <c r="I422" s="292"/>
      <c r="J422" s="286"/>
      <c r="K422" s="286"/>
      <c r="L422" s="286"/>
      <c r="M422" s="286"/>
      <c r="N422" s="286"/>
      <c r="O422" s="286"/>
      <c r="P422" s="292"/>
      <c r="Q422" s="286"/>
      <c r="R422" s="286"/>
      <c r="S422" s="286"/>
      <c r="T422" s="286"/>
      <c r="U422" s="286"/>
      <c r="V422" s="286"/>
      <c r="W422" s="286"/>
      <c r="X422" s="286"/>
      <c r="Y422" s="286"/>
      <c r="Z422" s="286"/>
      <c r="AA422" s="286"/>
      <c r="AB422" s="286"/>
      <c r="AC422" s="286"/>
      <c r="AD422" s="286"/>
      <c r="AE422" s="286"/>
      <c r="AF422" s="286"/>
      <c r="AG422" s="286"/>
      <c r="AH422" s="286"/>
      <c r="AI422" s="286"/>
      <c r="AJ422" s="286"/>
      <c r="AK422" s="287"/>
      <c r="AL422" s="288"/>
      <c r="AM422" s="287"/>
      <c r="AN422" s="287"/>
      <c r="AO422" s="286"/>
      <c r="AP422" s="286"/>
      <c r="AQ422" s="296"/>
      <c r="AR422" s="286"/>
      <c r="AS422" s="286"/>
      <c r="AT422" s="286"/>
      <c r="AU422" s="286"/>
      <c r="AV422" s="286"/>
      <c r="AW422" s="286"/>
      <c r="AX422" s="286"/>
      <c r="AY422" s="286"/>
      <c r="AZ422" s="286"/>
      <c r="BA422" s="286"/>
      <c r="BB422" s="286"/>
      <c r="BC422" s="286"/>
      <c r="BD422" s="287"/>
      <c r="BE422" s="287"/>
      <c r="BF422" s="287"/>
      <c r="BG422" s="288">
        <v>42</v>
      </c>
      <c r="BH422" s="287"/>
      <c r="BI422" s="287"/>
      <c r="BJ422" s="287"/>
      <c r="BK422" s="287"/>
      <c r="BL422" s="287"/>
      <c r="BM422" s="287"/>
      <c r="BN422" s="287"/>
      <c r="BO422" s="287"/>
      <c r="BP422" s="287"/>
      <c r="BQ422" s="287"/>
      <c r="BR422" s="287"/>
      <c r="BS422" s="287"/>
      <c r="BT422" s="287"/>
      <c r="BU422" s="287"/>
      <c r="BV422" s="287"/>
      <c r="BW422" s="287"/>
      <c r="BX422" s="286"/>
      <c r="BY422" s="289"/>
      <c r="BZ422" s="289">
        <v>44</v>
      </c>
      <c r="CA422" s="289"/>
      <c r="CB422" s="289"/>
      <c r="CC422" s="289"/>
      <c r="CD422" s="289"/>
      <c r="CE422" s="289"/>
      <c r="CF422" s="289"/>
      <c r="CG422" s="287"/>
      <c r="CH422" s="287"/>
      <c r="CI422" s="287"/>
      <c r="CJ422" s="287"/>
      <c r="CK422" s="287"/>
      <c r="CL422" s="287"/>
      <c r="CM422" s="287"/>
      <c r="CN422" s="287"/>
      <c r="CO422" s="287"/>
      <c r="CP422" s="287"/>
      <c r="CQ422" s="287"/>
      <c r="CR422" s="287"/>
      <c r="CS422" s="6"/>
      <c r="CT422" s="6"/>
      <c r="CU422" s="6"/>
      <c r="CV422" s="6"/>
      <c r="CW422" s="6"/>
      <c r="CX422" s="6"/>
      <c r="CY422" s="6"/>
      <c r="CZ422" s="6"/>
      <c r="DA422" s="343">
        <f t="shared" si="17"/>
        <v>36</v>
      </c>
    </row>
    <row r="423" spans="1:105" ht="20" customHeight="1" x14ac:dyDescent="0.35">
      <c r="A423" s="301" t="s">
        <v>2069</v>
      </c>
      <c r="B423" s="270" t="s">
        <v>1245</v>
      </c>
      <c r="C423" s="274" t="s">
        <v>2009</v>
      </c>
      <c r="D423" s="297" t="s">
        <v>513</v>
      </c>
      <c r="E423" s="270" t="s">
        <v>2010</v>
      </c>
      <c r="F423" s="270" t="s">
        <v>2011</v>
      </c>
      <c r="G423" s="270" t="s">
        <v>44</v>
      </c>
      <c r="H423" s="298">
        <v>1.7</v>
      </c>
      <c r="I423" s="300">
        <v>2.7</v>
      </c>
      <c r="J423" s="286"/>
      <c r="K423" s="286"/>
      <c r="L423" s="286"/>
      <c r="M423" s="286"/>
      <c r="N423" s="286"/>
      <c r="O423" s="286"/>
      <c r="P423" s="292"/>
      <c r="Q423" s="286"/>
      <c r="R423" s="286"/>
      <c r="S423" s="286"/>
      <c r="T423" s="286"/>
      <c r="U423" s="286"/>
      <c r="V423" s="286"/>
      <c r="W423" s="286"/>
      <c r="X423" s="286"/>
      <c r="Y423" s="286"/>
      <c r="Z423" s="286"/>
      <c r="AA423" s="286"/>
      <c r="AB423" s="286"/>
      <c r="AC423" s="286"/>
      <c r="AD423" s="286"/>
      <c r="AE423" s="286"/>
      <c r="AF423" s="286"/>
      <c r="AG423" s="286"/>
      <c r="AH423" s="286"/>
      <c r="AI423" s="286"/>
      <c r="AJ423" s="286"/>
      <c r="AK423" s="287"/>
      <c r="AL423" s="288"/>
      <c r="AM423" s="287"/>
      <c r="AN423" s="287"/>
      <c r="AO423" s="286"/>
      <c r="AP423" s="286"/>
      <c r="AQ423" s="296"/>
      <c r="AR423" s="286"/>
      <c r="AS423" s="286"/>
      <c r="AT423" s="286"/>
      <c r="AU423" s="286"/>
      <c r="AV423" s="286"/>
      <c r="AW423" s="286"/>
      <c r="AX423" s="286"/>
      <c r="AY423" s="286"/>
      <c r="AZ423" s="286"/>
      <c r="BA423" s="286"/>
      <c r="BB423" s="286"/>
      <c r="BC423" s="286"/>
      <c r="BD423" s="287"/>
      <c r="BE423" s="287"/>
      <c r="BF423" s="287"/>
      <c r="BG423" s="287"/>
      <c r="BH423" s="287"/>
      <c r="BI423" s="287"/>
      <c r="BJ423" s="287"/>
      <c r="BK423" s="287"/>
      <c r="BL423" s="287"/>
      <c r="BM423" s="287"/>
      <c r="BN423" s="287"/>
      <c r="BO423" s="287"/>
      <c r="BP423" s="287"/>
      <c r="BQ423" s="287"/>
      <c r="BR423" s="287"/>
      <c r="BS423" s="287"/>
      <c r="BT423" s="287"/>
      <c r="BU423" s="287"/>
      <c r="BV423" s="287"/>
      <c r="BW423" s="287"/>
      <c r="BX423" s="286"/>
      <c r="BY423" s="289"/>
      <c r="BZ423" s="289"/>
      <c r="CA423" s="289"/>
      <c r="CB423" s="289"/>
      <c r="CC423" s="289"/>
      <c r="CD423" s="289"/>
      <c r="CE423" s="289"/>
      <c r="CF423" s="289"/>
      <c r="CG423" s="287"/>
      <c r="CH423" s="287"/>
      <c r="CI423" s="287"/>
      <c r="CJ423" s="287"/>
      <c r="CK423" s="287"/>
      <c r="CL423" s="287"/>
      <c r="CM423" s="287"/>
      <c r="CN423" s="287"/>
      <c r="CO423" s="287"/>
      <c r="CP423" s="287"/>
      <c r="CQ423" s="287">
        <v>2.7</v>
      </c>
      <c r="CR423" s="287">
        <v>2.4</v>
      </c>
      <c r="CS423" s="6"/>
      <c r="CT423" s="6"/>
      <c r="CU423" s="6"/>
      <c r="CV423" s="6"/>
      <c r="CW423" s="6"/>
      <c r="CX423" s="6"/>
      <c r="CY423" s="6"/>
      <c r="CZ423" s="6"/>
      <c r="DA423" s="343">
        <f t="shared" si="17"/>
        <v>1.7</v>
      </c>
    </row>
    <row r="424" spans="1:105" ht="20" customHeight="1" x14ac:dyDescent="0.35">
      <c r="A424" s="301"/>
      <c r="B424" s="306" t="s">
        <v>1246</v>
      </c>
      <c r="C424" s="270"/>
      <c r="D424" s="270"/>
      <c r="E424" s="270"/>
      <c r="F424" s="270"/>
      <c r="G424" s="270"/>
      <c r="H424" s="298"/>
      <c r="I424" s="292"/>
      <c r="J424" s="286"/>
      <c r="K424" s="286"/>
      <c r="L424" s="286"/>
      <c r="M424" s="286"/>
      <c r="N424" s="286"/>
      <c r="O424" s="286"/>
      <c r="P424" s="292"/>
      <c r="Q424" s="286"/>
      <c r="R424" s="286"/>
      <c r="S424" s="286"/>
      <c r="T424" s="286"/>
      <c r="U424" s="286"/>
      <c r="V424" s="286"/>
      <c r="W424" s="286"/>
      <c r="X424" s="286"/>
      <c r="Y424" s="286"/>
      <c r="Z424" s="286"/>
      <c r="AA424" s="286"/>
      <c r="AB424" s="286"/>
      <c r="AC424" s="286"/>
      <c r="AD424" s="286"/>
      <c r="AE424" s="286"/>
      <c r="AF424" s="286"/>
      <c r="AG424" s="286"/>
      <c r="AH424" s="286"/>
      <c r="AI424" s="286"/>
      <c r="AJ424" s="286"/>
      <c r="AK424" s="287"/>
      <c r="AL424" s="288"/>
      <c r="AM424" s="287"/>
      <c r="AN424" s="287"/>
      <c r="AO424" s="286"/>
      <c r="AP424" s="286"/>
      <c r="AQ424" s="296"/>
      <c r="AR424" s="286"/>
      <c r="AS424" s="286"/>
      <c r="AT424" s="286"/>
      <c r="AU424" s="286"/>
      <c r="AV424" s="286"/>
      <c r="AW424" s="286"/>
      <c r="AX424" s="286"/>
      <c r="AY424" s="286"/>
      <c r="AZ424" s="286"/>
      <c r="BA424" s="286"/>
      <c r="BB424" s="286"/>
      <c r="BC424" s="286"/>
      <c r="BD424" s="287"/>
      <c r="BE424" s="287"/>
      <c r="BF424" s="287"/>
      <c r="BG424" s="287"/>
      <c r="BH424" s="287"/>
      <c r="BI424" s="287"/>
      <c r="BJ424" s="287"/>
      <c r="BK424" s="287"/>
      <c r="BL424" s="287"/>
      <c r="BM424" s="287"/>
      <c r="BN424" s="287"/>
      <c r="BO424" s="287"/>
      <c r="BP424" s="287"/>
      <c r="BQ424" s="287"/>
      <c r="BR424" s="287"/>
      <c r="BS424" s="287"/>
      <c r="BT424" s="287"/>
      <c r="BU424" s="287"/>
      <c r="BV424" s="287"/>
      <c r="BW424" s="287"/>
      <c r="BX424" s="286"/>
      <c r="BY424" s="289"/>
      <c r="BZ424" s="289"/>
      <c r="CA424" s="289"/>
      <c r="CB424" s="289"/>
      <c r="CC424" s="289"/>
      <c r="CD424" s="289"/>
      <c r="CE424" s="289"/>
      <c r="CF424" s="289"/>
      <c r="CG424" s="287"/>
      <c r="CH424" s="287"/>
      <c r="CI424" s="287"/>
      <c r="CJ424" s="287"/>
      <c r="CK424" s="287"/>
      <c r="CL424" s="287"/>
      <c r="CM424" s="287"/>
      <c r="CN424" s="287"/>
      <c r="CO424" s="287"/>
      <c r="CP424" s="287"/>
      <c r="CQ424" s="287"/>
      <c r="CR424" s="287"/>
      <c r="CS424" s="6"/>
      <c r="CT424" s="6"/>
      <c r="CU424" s="6"/>
      <c r="CV424" s="6"/>
      <c r="CW424" s="6"/>
      <c r="CX424" s="6"/>
      <c r="CY424" s="6"/>
      <c r="CZ424" s="6"/>
      <c r="DA424" s="343">
        <f t="shared" si="17"/>
        <v>0</v>
      </c>
    </row>
    <row r="425" spans="1:105" ht="20" customHeight="1" x14ac:dyDescent="0.35">
      <c r="A425" s="290"/>
      <c r="B425" s="306" t="s">
        <v>1253</v>
      </c>
      <c r="C425" s="270" t="s">
        <v>1755</v>
      </c>
      <c r="D425" s="270" t="s">
        <v>630</v>
      </c>
      <c r="E425" s="270" t="s">
        <v>1757</v>
      </c>
      <c r="F425" s="270" t="s">
        <v>1832</v>
      </c>
      <c r="G425" s="270" t="s">
        <v>33</v>
      </c>
      <c r="H425" s="298">
        <v>16</v>
      </c>
      <c r="I425" s="325">
        <v>0</v>
      </c>
      <c r="J425" s="292">
        <v>20.5</v>
      </c>
      <c r="K425" s="286"/>
      <c r="L425" s="286">
        <v>24</v>
      </c>
      <c r="M425" s="286"/>
      <c r="N425" s="286">
        <v>22</v>
      </c>
      <c r="O425" s="286"/>
      <c r="P425" s="292">
        <v>22</v>
      </c>
      <c r="Q425" s="286"/>
      <c r="R425" s="286"/>
      <c r="S425" s="286"/>
      <c r="T425" s="286">
        <v>20.5</v>
      </c>
      <c r="U425" s="286"/>
      <c r="V425" s="286"/>
      <c r="W425" s="286"/>
      <c r="X425" s="286"/>
      <c r="Y425" s="286"/>
      <c r="Z425" s="286"/>
      <c r="AA425" s="286"/>
      <c r="AB425" s="286">
        <v>23</v>
      </c>
      <c r="AC425" s="286">
        <v>22</v>
      </c>
      <c r="AD425" s="286"/>
      <c r="AE425" s="286"/>
      <c r="AF425" s="286"/>
      <c r="AG425" s="286"/>
      <c r="AH425" s="286"/>
      <c r="AI425" s="286">
        <v>20.5</v>
      </c>
      <c r="AJ425" s="286"/>
      <c r="AK425" s="287">
        <v>23</v>
      </c>
      <c r="AL425" s="288">
        <v>20.5</v>
      </c>
      <c r="AM425" s="287">
        <v>23</v>
      </c>
      <c r="AN425" s="287"/>
      <c r="AO425" s="286">
        <v>20.5</v>
      </c>
      <c r="AP425" s="286">
        <v>20.5</v>
      </c>
      <c r="AQ425" s="296">
        <v>22</v>
      </c>
      <c r="AR425" s="286">
        <v>20.5</v>
      </c>
      <c r="AS425" s="286">
        <v>20.5</v>
      </c>
      <c r="AT425" s="286">
        <v>20.5</v>
      </c>
      <c r="AU425" s="286">
        <v>20.5</v>
      </c>
      <c r="AV425" s="286">
        <v>20.5</v>
      </c>
      <c r="AW425" s="286">
        <v>20.5</v>
      </c>
      <c r="AX425" s="286">
        <v>20.5</v>
      </c>
      <c r="AY425" s="286">
        <v>20.5</v>
      </c>
      <c r="AZ425" s="286">
        <v>20.5</v>
      </c>
      <c r="BA425" s="286">
        <v>20.5</v>
      </c>
      <c r="BB425" s="286">
        <v>20.5</v>
      </c>
      <c r="BC425" s="286">
        <v>20.5</v>
      </c>
      <c r="BD425" s="287"/>
      <c r="BE425" s="287"/>
      <c r="BF425" s="287"/>
      <c r="BG425" s="288">
        <v>24</v>
      </c>
      <c r="BH425" s="287"/>
      <c r="BI425" s="287"/>
      <c r="BJ425" s="287"/>
      <c r="BK425" s="287"/>
      <c r="BL425" s="287"/>
      <c r="BM425" s="287"/>
      <c r="BN425" s="287"/>
      <c r="BO425" s="287"/>
      <c r="BP425" s="287"/>
      <c r="BQ425" s="287"/>
      <c r="BR425" s="287"/>
      <c r="BS425" s="287"/>
      <c r="BT425" s="287"/>
      <c r="BU425" s="287"/>
      <c r="BV425" s="287"/>
      <c r="BW425" s="287"/>
      <c r="BX425" s="286">
        <v>20.5</v>
      </c>
      <c r="BY425" s="289"/>
      <c r="BZ425" s="289"/>
      <c r="CA425" s="289"/>
      <c r="CB425" s="289"/>
      <c r="CC425" s="289"/>
      <c r="CD425" s="289"/>
      <c r="CE425" s="289"/>
      <c r="CF425" s="289"/>
      <c r="CG425" s="287"/>
      <c r="CH425" s="287"/>
      <c r="CI425" s="287"/>
      <c r="CJ425" s="287"/>
      <c r="CK425" s="287"/>
      <c r="CL425" s="287"/>
      <c r="CM425" s="286">
        <v>20.5</v>
      </c>
      <c r="CN425" s="292">
        <v>20.5</v>
      </c>
      <c r="CO425" s="292">
        <v>20.5</v>
      </c>
      <c r="CP425" s="287"/>
      <c r="CQ425" s="287"/>
      <c r="CR425" s="287"/>
      <c r="CS425" s="288">
        <v>23</v>
      </c>
      <c r="CT425" s="6"/>
      <c r="CU425" s="6"/>
      <c r="CV425" s="6"/>
      <c r="CW425" s="6"/>
      <c r="CX425" s="6"/>
      <c r="CY425" s="6"/>
      <c r="CZ425" s="6"/>
      <c r="DA425" s="343">
        <f t="shared" si="17"/>
        <v>16</v>
      </c>
    </row>
    <row r="426" spans="1:105" ht="20" customHeight="1" x14ac:dyDescent="0.35">
      <c r="A426" s="301"/>
      <c r="B426" s="306" t="s">
        <v>1331</v>
      </c>
      <c r="C426" s="270"/>
      <c r="D426" s="270"/>
      <c r="E426" s="270"/>
      <c r="F426" s="270"/>
      <c r="G426" s="270"/>
      <c r="H426" s="298"/>
      <c r="I426" s="292"/>
      <c r="J426" s="286"/>
      <c r="K426" s="286"/>
      <c r="L426" s="286"/>
      <c r="M426" s="286"/>
      <c r="N426" s="286"/>
      <c r="O426" s="286"/>
      <c r="P426" s="292"/>
      <c r="Q426" s="286"/>
      <c r="R426" s="286"/>
      <c r="S426" s="286"/>
      <c r="T426" s="286"/>
      <c r="U426" s="286"/>
      <c r="V426" s="286"/>
      <c r="W426" s="286"/>
      <c r="X426" s="286"/>
      <c r="Y426" s="286"/>
      <c r="Z426" s="286"/>
      <c r="AA426" s="286"/>
      <c r="AB426" s="286"/>
      <c r="AC426" s="286"/>
      <c r="AD426" s="286"/>
      <c r="AE426" s="286"/>
      <c r="AF426" s="286"/>
      <c r="AG426" s="286"/>
      <c r="AH426" s="286"/>
      <c r="AI426" s="286"/>
      <c r="AJ426" s="286"/>
      <c r="AK426" s="287"/>
      <c r="AL426" s="288"/>
      <c r="AM426" s="287"/>
      <c r="AN426" s="287"/>
      <c r="AO426" s="286"/>
      <c r="AP426" s="286"/>
      <c r="AQ426" s="296"/>
      <c r="AR426" s="286"/>
      <c r="AS426" s="286"/>
      <c r="AT426" s="286"/>
      <c r="AU426" s="286"/>
      <c r="AV426" s="286"/>
      <c r="AW426" s="286"/>
      <c r="AX426" s="286"/>
      <c r="AY426" s="286"/>
      <c r="AZ426" s="286"/>
      <c r="BA426" s="286"/>
      <c r="BB426" s="286"/>
      <c r="BC426" s="286"/>
      <c r="BD426" s="287"/>
      <c r="BE426" s="287"/>
      <c r="BF426" s="287"/>
      <c r="BG426" s="287"/>
      <c r="BH426" s="287"/>
      <c r="BI426" s="287"/>
      <c r="BJ426" s="287"/>
      <c r="BK426" s="287"/>
      <c r="BL426" s="287"/>
      <c r="BM426" s="287"/>
      <c r="BN426" s="287"/>
      <c r="BO426" s="287"/>
      <c r="BP426" s="287"/>
      <c r="BQ426" s="287"/>
      <c r="BR426" s="287"/>
      <c r="BS426" s="287"/>
      <c r="BT426" s="287"/>
      <c r="BU426" s="287"/>
      <c r="BV426" s="287"/>
      <c r="BW426" s="287"/>
      <c r="BX426" s="286"/>
      <c r="BY426" s="289"/>
      <c r="BZ426" s="289"/>
      <c r="CA426" s="289"/>
      <c r="CB426" s="289"/>
      <c r="CC426" s="289"/>
      <c r="CD426" s="289"/>
      <c r="CE426" s="289"/>
      <c r="CF426" s="289"/>
      <c r="CG426" s="287"/>
      <c r="CH426" s="287"/>
      <c r="CI426" s="287"/>
      <c r="CJ426" s="287"/>
      <c r="CK426" s="287"/>
      <c r="CL426" s="287"/>
      <c r="CM426" s="287"/>
      <c r="CN426" s="287"/>
      <c r="CO426" s="292"/>
      <c r="CP426" s="287"/>
      <c r="CQ426" s="287"/>
      <c r="CR426" s="287"/>
      <c r="CS426" s="6"/>
      <c r="CT426" s="6"/>
      <c r="CU426" s="6"/>
      <c r="CV426" s="6"/>
      <c r="CW426" s="6"/>
      <c r="CX426" s="6"/>
      <c r="CY426" s="6"/>
      <c r="CZ426" s="6"/>
      <c r="DA426" s="343">
        <f t="shared" si="17"/>
        <v>0</v>
      </c>
    </row>
    <row r="427" spans="1:105" ht="20" customHeight="1" x14ac:dyDescent="0.35">
      <c r="A427" s="301"/>
      <c r="B427" s="306" t="s">
        <v>1265</v>
      </c>
      <c r="C427" s="270" t="s">
        <v>1756</v>
      </c>
      <c r="D427" s="270" t="s">
        <v>630</v>
      </c>
      <c r="E427" s="270" t="s">
        <v>1757</v>
      </c>
      <c r="F427" s="270" t="s">
        <v>1832</v>
      </c>
      <c r="G427" s="270" t="s">
        <v>33</v>
      </c>
      <c r="H427" s="298">
        <v>14.5</v>
      </c>
      <c r="I427" s="325">
        <v>0</v>
      </c>
      <c r="J427" s="292">
        <v>20.5</v>
      </c>
      <c r="K427" s="286"/>
      <c r="L427" s="286"/>
      <c r="M427" s="286"/>
      <c r="N427" s="286">
        <v>22</v>
      </c>
      <c r="O427" s="286"/>
      <c r="P427" s="292">
        <v>22</v>
      </c>
      <c r="Q427" s="286"/>
      <c r="R427" s="286"/>
      <c r="S427" s="286"/>
      <c r="T427" s="286">
        <v>20.5</v>
      </c>
      <c r="U427" s="286"/>
      <c r="V427" s="286"/>
      <c r="W427" s="286"/>
      <c r="X427" s="286"/>
      <c r="Y427" s="286"/>
      <c r="Z427" s="286"/>
      <c r="AA427" s="286"/>
      <c r="AB427" s="286"/>
      <c r="AC427" s="286">
        <v>22</v>
      </c>
      <c r="AD427" s="286"/>
      <c r="AE427" s="286"/>
      <c r="AF427" s="286"/>
      <c r="AG427" s="286"/>
      <c r="AH427" s="286"/>
      <c r="AI427" s="286"/>
      <c r="AJ427" s="286"/>
      <c r="AK427" s="287"/>
      <c r="AL427" s="288"/>
      <c r="AM427" s="287">
        <v>23</v>
      </c>
      <c r="AN427" s="287"/>
      <c r="AO427" s="286"/>
      <c r="AP427" s="286"/>
      <c r="AQ427" s="296"/>
      <c r="AR427" s="286"/>
      <c r="AS427" s="286"/>
      <c r="AT427" s="286">
        <v>20.5</v>
      </c>
      <c r="AU427" s="286">
        <v>20.5</v>
      </c>
      <c r="AV427" s="286"/>
      <c r="AW427" s="286"/>
      <c r="AX427" s="286"/>
      <c r="AY427" s="286"/>
      <c r="AZ427" s="286"/>
      <c r="BA427" s="286"/>
      <c r="BB427" s="286"/>
      <c r="BC427" s="286"/>
      <c r="BD427" s="287"/>
      <c r="BE427" s="287"/>
      <c r="BF427" s="287"/>
      <c r="BG427" s="288">
        <v>23</v>
      </c>
      <c r="BH427" s="287"/>
      <c r="BI427" s="287"/>
      <c r="BJ427" s="287"/>
      <c r="BK427" s="287"/>
      <c r="BL427" s="287"/>
      <c r="BM427" s="287"/>
      <c r="BN427" s="287"/>
      <c r="BO427" s="287"/>
      <c r="BP427" s="287"/>
      <c r="BQ427" s="287"/>
      <c r="BR427" s="287"/>
      <c r="BS427" s="287"/>
      <c r="BT427" s="287"/>
      <c r="BU427" s="287"/>
      <c r="BV427" s="287"/>
      <c r="BW427" s="287"/>
      <c r="BX427" s="286"/>
      <c r="BY427" s="289"/>
      <c r="BZ427" s="289"/>
      <c r="CA427" s="289"/>
      <c r="CB427" s="289"/>
      <c r="CC427" s="289"/>
      <c r="CD427" s="289"/>
      <c r="CE427" s="289"/>
      <c r="CF427" s="289"/>
      <c r="CG427" s="287"/>
      <c r="CH427" s="287"/>
      <c r="CI427" s="287"/>
      <c r="CJ427" s="287"/>
      <c r="CK427" s="287"/>
      <c r="CL427" s="287"/>
      <c r="CM427" s="287"/>
      <c r="CN427" s="292">
        <v>20.5</v>
      </c>
      <c r="CO427" s="292">
        <v>20.5</v>
      </c>
      <c r="CP427" s="287"/>
      <c r="CQ427" s="287"/>
      <c r="CR427" s="287"/>
      <c r="CS427" s="288">
        <v>23</v>
      </c>
      <c r="CT427" s="6"/>
      <c r="CU427" s="6"/>
      <c r="CV427" s="6"/>
      <c r="CW427" s="6"/>
      <c r="CX427" s="6"/>
      <c r="CY427" s="6"/>
      <c r="CZ427" s="6"/>
      <c r="DA427" s="343">
        <f t="shared" si="17"/>
        <v>14.5</v>
      </c>
    </row>
    <row r="428" spans="1:105" ht="20" customHeight="1" x14ac:dyDescent="0.35">
      <c r="A428" s="301"/>
      <c r="B428" s="306" t="s">
        <v>1332</v>
      </c>
      <c r="C428" s="270"/>
      <c r="D428" s="270"/>
      <c r="E428" s="270"/>
      <c r="F428" s="270"/>
      <c r="G428" s="270"/>
      <c r="H428" s="298"/>
      <c r="I428" s="292"/>
      <c r="J428" s="286"/>
      <c r="K428" s="286"/>
      <c r="L428" s="286"/>
      <c r="M428" s="286"/>
      <c r="N428" s="286"/>
      <c r="O428" s="286"/>
      <c r="P428" s="292"/>
      <c r="Q428" s="286"/>
      <c r="R428" s="286"/>
      <c r="S428" s="286"/>
      <c r="T428" s="286"/>
      <c r="U428" s="286"/>
      <c r="V428" s="286"/>
      <c r="W428" s="286"/>
      <c r="X428" s="286"/>
      <c r="Y428" s="286"/>
      <c r="Z428" s="286"/>
      <c r="AA428" s="286"/>
      <c r="AB428" s="286"/>
      <c r="AC428" s="286"/>
      <c r="AD428" s="286"/>
      <c r="AE428" s="286"/>
      <c r="AF428" s="286"/>
      <c r="AG428" s="286"/>
      <c r="AH428" s="286"/>
      <c r="AI428" s="286"/>
      <c r="AJ428" s="286"/>
      <c r="AK428" s="287"/>
      <c r="AL428" s="288"/>
      <c r="AM428" s="287"/>
      <c r="AN428" s="287"/>
      <c r="AO428" s="286"/>
      <c r="AP428" s="286"/>
      <c r="AQ428" s="296"/>
      <c r="AR428" s="286"/>
      <c r="AS428" s="286"/>
      <c r="AT428" s="286"/>
      <c r="AU428" s="286"/>
      <c r="AV428" s="286"/>
      <c r="AW428" s="286"/>
      <c r="AX428" s="286"/>
      <c r="AY428" s="286"/>
      <c r="AZ428" s="286"/>
      <c r="BA428" s="286"/>
      <c r="BB428" s="286"/>
      <c r="BC428" s="286"/>
      <c r="BD428" s="287"/>
      <c r="BE428" s="287"/>
      <c r="BF428" s="287"/>
      <c r="BG428" s="287"/>
      <c r="BH428" s="287"/>
      <c r="BI428" s="287"/>
      <c r="BJ428" s="287"/>
      <c r="BK428" s="287"/>
      <c r="BL428" s="287"/>
      <c r="BM428" s="287"/>
      <c r="BN428" s="287"/>
      <c r="BO428" s="287"/>
      <c r="BP428" s="287"/>
      <c r="BQ428" s="287"/>
      <c r="BR428" s="287"/>
      <c r="BS428" s="287"/>
      <c r="BT428" s="287"/>
      <c r="BU428" s="287"/>
      <c r="BV428" s="287"/>
      <c r="BW428" s="287"/>
      <c r="BX428" s="286"/>
      <c r="BY428" s="289"/>
      <c r="BZ428" s="289"/>
      <c r="CA428" s="289"/>
      <c r="CB428" s="289"/>
      <c r="CC428" s="289"/>
      <c r="CD428" s="289"/>
      <c r="CE428" s="289"/>
      <c r="CF428" s="289"/>
      <c r="CG428" s="287"/>
      <c r="CH428" s="287"/>
      <c r="CI428" s="287"/>
      <c r="CJ428" s="287"/>
      <c r="CK428" s="287"/>
      <c r="CL428" s="287"/>
      <c r="CM428" s="287"/>
      <c r="CN428" s="287"/>
      <c r="CO428" s="287"/>
      <c r="CP428" s="287"/>
      <c r="CQ428" s="287"/>
      <c r="CR428" s="287"/>
      <c r="CS428" s="6"/>
      <c r="CT428" s="6"/>
      <c r="CU428" s="6"/>
      <c r="CV428" s="6"/>
      <c r="CW428" s="6"/>
      <c r="CX428" s="6"/>
      <c r="CY428" s="6"/>
      <c r="CZ428" s="6"/>
      <c r="DA428" s="343">
        <f t="shared" si="17"/>
        <v>0</v>
      </c>
    </row>
    <row r="429" spans="1:105" ht="20" customHeight="1" x14ac:dyDescent="0.35">
      <c r="A429" s="301"/>
      <c r="B429" s="306" t="s">
        <v>1330</v>
      </c>
      <c r="C429" s="270" t="s">
        <v>1631</v>
      </c>
      <c r="D429" s="270" t="s">
        <v>632</v>
      </c>
      <c r="E429" s="270" t="s">
        <v>1648</v>
      </c>
      <c r="F429" s="270" t="s">
        <v>1832</v>
      </c>
      <c r="G429" s="270" t="s">
        <v>36</v>
      </c>
      <c r="H429" s="298">
        <v>26.5</v>
      </c>
      <c r="I429" s="292"/>
      <c r="J429" s="286"/>
      <c r="K429" s="286"/>
      <c r="L429" s="286"/>
      <c r="M429" s="286"/>
      <c r="N429" s="286"/>
      <c r="O429" s="286"/>
      <c r="P429" s="292"/>
      <c r="Q429" s="286"/>
      <c r="R429" s="286"/>
      <c r="S429" s="286"/>
      <c r="T429" s="286"/>
      <c r="U429" s="286"/>
      <c r="V429" s="286"/>
      <c r="W429" s="286"/>
      <c r="X429" s="286"/>
      <c r="Y429" s="286"/>
      <c r="Z429" s="286"/>
      <c r="AA429" s="286"/>
      <c r="AB429" s="286"/>
      <c r="AC429" s="286">
        <v>31</v>
      </c>
      <c r="AD429" s="286"/>
      <c r="AE429" s="286"/>
      <c r="AF429" s="286"/>
      <c r="AG429" s="286"/>
      <c r="AH429" s="286"/>
      <c r="AI429" s="286"/>
      <c r="AJ429" s="286"/>
      <c r="AK429" s="287"/>
      <c r="AL429" s="288"/>
      <c r="AM429" s="287"/>
      <c r="AN429" s="287"/>
      <c r="AO429" s="286"/>
      <c r="AP429" s="286"/>
      <c r="AQ429" s="296"/>
      <c r="AR429" s="286"/>
      <c r="AS429" s="286"/>
      <c r="AT429" s="286"/>
      <c r="AU429" s="286"/>
      <c r="AV429" s="286"/>
      <c r="AW429" s="286"/>
      <c r="AX429" s="286"/>
      <c r="AY429" s="286"/>
      <c r="AZ429" s="286"/>
      <c r="BA429" s="286"/>
      <c r="BB429" s="286"/>
      <c r="BC429" s="286"/>
      <c r="BD429" s="287"/>
      <c r="BE429" s="287"/>
      <c r="BF429" s="287"/>
      <c r="BG429" s="287"/>
      <c r="BH429" s="287"/>
      <c r="BI429" s="287"/>
      <c r="BJ429" s="287"/>
      <c r="BK429" s="287"/>
      <c r="BL429" s="287"/>
      <c r="BM429" s="287"/>
      <c r="BN429" s="287"/>
      <c r="BO429" s="287"/>
      <c r="BP429" s="287"/>
      <c r="BQ429" s="287"/>
      <c r="BR429" s="287"/>
      <c r="BS429" s="287"/>
      <c r="BT429" s="287"/>
      <c r="BU429" s="287"/>
      <c r="BV429" s="287"/>
      <c r="BW429" s="287"/>
      <c r="BX429" s="286"/>
      <c r="BY429" s="289"/>
      <c r="BZ429" s="289"/>
      <c r="CA429" s="289"/>
      <c r="CB429" s="289"/>
      <c r="CC429" s="289"/>
      <c r="CD429" s="289"/>
      <c r="CE429" s="289"/>
      <c r="CF429" s="289"/>
      <c r="CG429" s="287"/>
      <c r="CH429" s="287"/>
      <c r="CI429" s="287"/>
      <c r="CJ429" s="287"/>
      <c r="CK429" s="287"/>
      <c r="CL429" s="287"/>
      <c r="CM429" s="287"/>
      <c r="CN429" s="287"/>
      <c r="CO429" s="287"/>
      <c r="CP429" s="287"/>
      <c r="CQ429" s="287"/>
      <c r="CR429" s="287"/>
      <c r="CS429" s="6"/>
      <c r="CT429" s="6"/>
      <c r="CU429" s="6"/>
      <c r="CV429" s="6"/>
      <c r="CW429" s="6"/>
      <c r="CX429" s="6"/>
      <c r="CY429" s="6"/>
      <c r="CZ429" s="6"/>
      <c r="DA429" s="343">
        <f t="shared" si="17"/>
        <v>26.5</v>
      </c>
    </row>
    <row r="430" spans="1:105" ht="20" customHeight="1" x14ac:dyDescent="0.35">
      <c r="A430" s="301"/>
      <c r="B430" s="306" t="s">
        <v>1345</v>
      </c>
      <c r="C430" s="270" t="s">
        <v>1632</v>
      </c>
      <c r="D430" s="270"/>
      <c r="E430" s="270" t="s">
        <v>960</v>
      </c>
      <c r="F430" s="270" t="s">
        <v>1833</v>
      </c>
      <c r="G430" s="270" t="s">
        <v>36</v>
      </c>
      <c r="H430" s="298">
        <v>31.2</v>
      </c>
      <c r="I430" s="292"/>
      <c r="J430" s="286"/>
      <c r="K430" s="286"/>
      <c r="L430" s="286"/>
      <c r="M430" s="286"/>
      <c r="N430" s="286"/>
      <c r="O430" s="286"/>
      <c r="P430" s="292"/>
      <c r="Q430" s="286"/>
      <c r="R430" s="286"/>
      <c r="S430" s="286"/>
      <c r="T430" s="286"/>
      <c r="U430" s="286"/>
      <c r="V430" s="286"/>
      <c r="W430" s="286"/>
      <c r="X430" s="286"/>
      <c r="Y430" s="286"/>
      <c r="Z430" s="286"/>
      <c r="AA430" s="286"/>
      <c r="AB430" s="286"/>
      <c r="AC430" s="286"/>
      <c r="AD430" s="286"/>
      <c r="AE430" s="286"/>
      <c r="AF430" s="286"/>
      <c r="AG430" s="286"/>
      <c r="AH430" s="286"/>
      <c r="AI430" s="286"/>
      <c r="AJ430" s="286"/>
      <c r="AK430" s="295">
        <v>38</v>
      </c>
      <c r="AL430" s="288"/>
      <c r="AM430" s="287"/>
      <c r="AN430" s="287"/>
      <c r="AO430" s="286"/>
      <c r="AP430" s="286"/>
      <c r="AQ430" s="296"/>
      <c r="AR430" s="286"/>
      <c r="AS430" s="286"/>
      <c r="AT430" s="286"/>
      <c r="AU430" s="286"/>
      <c r="AV430" s="286"/>
      <c r="AW430" s="286"/>
      <c r="AX430" s="286"/>
      <c r="AY430" s="286"/>
      <c r="AZ430" s="286"/>
      <c r="BA430" s="286"/>
      <c r="BB430" s="286"/>
      <c r="BC430" s="286"/>
      <c r="BD430" s="287"/>
      <c r="BE430" s="287"/>
      <c r="BF430" s="287"/>
      <c r="BG430" s="288">
        <v>38</v>
      </c>
      <c r="BH430" s="287"/>
      <c r="BI430" s="287"/>
      <c r="BJ430" s="287"/>
      <c r="BK430" s="287"/>
      <c r="BL430" s="287"/>
      <c r="BM430" s="287"/>
      <c r="BN430" s="287"/>
      <c r="BO430" s="287"/>
      <c r="BP430" s="287"/>
      <c r="BQ430" s="287"/>
      <c r="BR430" s="287"/>
      <c r="BS430" s="287"/>
      <c r="BT430" s="287"/>
      <c r="BU430" s="287"/>
      <c r="BV430" s="287"/>
      <c r="BW430" s="287"/>
      <c r="BX430" s="286"/>
      <c r="BY430" s="289"/>
      <c r="BZ430" s="289"/>
      <c r="CA430" s="289"/>
      <c r="CB430" s="289"/>
      <c r="CC430" s="289"/>
      <c r="CD430" s="289"/>
      <c r="CE430" s="289"/>
      <c r="CF430" s="289"/>
      <c r="CG430" s="287"/>
      <c r="CH430" s="287"/>
      <c r="CI430" s="287"/>
      <c r="CJ430" s="287"/>
      <c r="CK430" s="287"/>
      <c r="CL430" s="287"/>
      <c r="CM430" s="287"/>
      <c r="CN430" s="287"/>
      <c r="CO430" s="287"/>
      <c r="CP430" s="287"/>
      <c r="CQ430" s="287"/>
      <c r="CR430" s="287"/>
      <c r="CS430" s="6"/>
      <c r="CT430" s="6"/>
      <c r="CU430" s="6"/>
      <c r="CV430" s="6"/>
      <c r="CW430" s="6"/>
      <c r="CX430" s="6"/>
      <c r="CY430" s="6"/>
      <c r="CZ430" s="6"/>
      <c r="DA430" s="343">
        <f t="shared" si="17"/>
        <v>31.2</v>
      </c>
    </row>
    <row r="431" spans="1:105" ht="20" customHeight="1" x14ac:dyDescent="0.35">
      <c r="A431" s="301"/>
      <c r="B431" s="306" t="s">
        <v>1428</v>
      </c>
      <c r="C431" s="270" t="s">
        <v>1437</v>
      </c>
      <c r="D431" s="270" t="s">
        <v>632</v>
      </c>
      <c r="E431" s="270" t="s">
        <v>1429</v>
      </c>
      <c r="F431" s="270" t="s">
        <v>1832</v>
      </c>
      <c r="G431" s="270" t="s">
        <v>36</v>
      </c>
      <c r="H431" s="298">
        <v>16</v>
      </c>
      <c r="I431" s="292"/>
      <c r="J431" s="286"/>
      <c r="K431" s="286"/>
      <c r="L431" s="286"/>
      <c r="M431" s="286"/>
      <c r="N431" s="286"/>
      <c r="O431" s="286"/>
      <c r="P431" s="292">
        <v>21</v>
      </c>
      <c r="Q431" s="286">
        <v>21</v>
      </c>
      <c r="R431" s="286">
        <v>21</v>
      </c>
      <c r="S431" s="286"/>
      <c r="T431" s="286"/>
      <c r="U431" s="286"/>
      <c r="V431" s="286"/>
      <c r="W431" s="286"/>
      <c r="X431" s="286"/>
      <c r="Y431" s="286"/>
      <c r="Z431" s="286"/>
      <c r="AA431" s="286"/>
      <c r="AB431" s="286"/>
      <c r="AC431" s="286">
        <v>20</v>
      </c>
      <c r="AD431" s="286"/>
      <c r="AE431" s="286"/>
      <c r="AF431" s="286"/>
      <c r="AG431" s="286"/>
      <c r="AH431" s="286"/>
      <c r="AI431" s="286"/>
      <c r="AJ431" s="286"/>
      <c r="AK431" s="287"/>
      <c r="AL431" s="288"/>
      <c r="AM431" s="287"/>
      <c r="AN431" s="287"/>
      <c r="AO431" s="286">
        <v>20.5</v>
      </c>
      <c r="AP431" s="286">
        <v>20.5</v>
      </c>
      <c r="AQ431" s="296"/>
      <c r="AR431" s="286">
        <v>20.5</v>
      </c>
      <c r="AS431" s="286">
        <v>20.5</v>
      </c>
      <c r="AT431" s="286">
        <v>20.5</v>
      </c>
      <c r="AU431" s="286">
        <v>20.5</v>
      </c>
      <c r="AV431" s="286">
        <v>20.5</v>
      </c>
      <c r="AW431" s="286">
        <v>20.5</v>
      </c>
      <c r="AX431" s="286">
        <v>20.5</v>
      </c>
      <c r="AY431" s="286">
        <v>20.5</v>
      </c>
      <c r="AZ431" s="286">
        <v>20.5</v>
      </c>
      <c r="BA431" s="286">
        <v>20.5</v>
      </c>
      <c r="BB431" s="286"/>
      <c r="BC431" s="286">
        <v>20.5</v>
      </c>
      <c r="BD431" s="287"/>
      <c r="BE431" s="287"/>
      <c r="BF431" s="287"/>
      <c r="BG431" s="287"/>
      <c r="BH431" s="287"/>
      <c r="BI431" s="287"/>
      <c r="BJ431" s="287"/>
      <c r="BK431" s="287"/>
      <c r="BL431" s="287"/>
      <c r="BM431" s="287"/>
      <c r="BN431" s="287"/>
      <c r="BO431" s="287"/>
      <c r="BP431" s="287"/>
      <c r="BQ431" s="287"/>
      <c r="BR431" s="287"/>
      <c r="BS431" s="287"/>
      <c r="BT431" s="287"/>
      <c r="BU431" s="287"/>
      <c r="BV431" s="287"/>
      <c r="BW431" s="287"/>
      <c r="BX431" s="286"/>
      <c r="BY431" s="289"/>
      <c r="BZ431" s="289"/>
      <c r="CA431" s="289"/>
      <c r="CB431" s="289"/>
      <c r="CC431" s="289"/>
      <c r="CD431" s="289"/>
      <c r="CE431" s="289"/>
      <c r="CF431" s="289"/>
      <c r="CG431" s="287"/>
      <c r="CH431" s="287"/>
      <c r="CI431" s="287"/>
      <c r="CJ431" s="287"/>
      <c r="CK431" s="287"/>
      <c r="CL431" s="287"/>
      <c r="CM431" s="287"/>
      <c r="CN431" s="287"/>
      <c r="CO431" s="287"/>
      <c r="CP431" s="287"/>
      <c r="CQ431" s="287"/>
      <c r="CR431" s="287"/>
      <c r="CS431" s="6"/>
      <c r="CT431" s="6"/>
      <c r="CU431" s="6"/>
      <c r="CV431" s="6"/>
      <c r="CW431" s="6"/>
      <c r="CX431" s="6"/>
      <c r="CY431" s="6"/>
      <c r="CZ431" s="6"/>
      <c r="DA431" s="343">
        <f t="shared" si="17"/>
        <v>16</v>
      </c>
    </row>
    <row r="432" spans="1:105" ht="20" customHeight="1" x14ac:dyDescent="0.35">
      <c r="A432" s="290"/>
      <c r="B432" s="270" t="s">
        <v>2174</v>
      </c>
      <c r="C432" s="270" t="s">
        <v>1540</v>
      </c>
      <c r="D432" s="297" t="s">
        <v>630</v>
      </c>
      <c r="E432" s="270" t="s">
        <v>2173</v>
      </c>
      <c r="F432" s="270" t="s">
        <v>2175</v>
      </c>
      <c r="G432" s="270" t="s">
        <v>36</v>
      </c>
      <c r="H432" s="298">
        <v>19.5</v>
      </c>
      <c r="I432" s="292"/>
      <c r="J432" s="292">
        <v>22</v>
      </c>
      <c r="K432" s="286"/>
      <c r="L432" s="286"/>
      <c r="M432" s="286"/>
      <c r="N432" s="286"/>
      <c r="O432" s="286"/>
      <c r="P432" s="286"/>
      <c r="Q432" s="286"/>
      <c r="R432" s="286"/>
      <c r="S432" s="286"/>
      <c r="T432" s="286">
        <v>22</v>
      </c>
      <c r="U432" s="286"/>
      <c r="V432" s="294"/>
      <c r="W432" s="286"/>
      <c r="X432" s="286"/>
      <c r="Y432" s="286"/>
      <c r="Z432" s="286"/>
      <c r="AA432" s="286"/>
      <c r="AB432" s="286"/>
      <c r="AC432" s="286"/>
      <c r="AD432" s="286"/>
      <c r="AE432" s="286"/>
      <c r="AF432" s="286"/>
      <c r="AG432" s="286"/>
      <c r="AH432" s="286"/>
      <c r="AI432" s="286">
        <v>22</v>
      </c>
      <c r="AJ432" s="286"/>
      <c r="AK432" s="287"/>
      <c r="AL432" s="288"/>
      <c r="AM432" s="287">
        <v>22</v>
      </c>
      <c r="AN432" s="287"/>
      <c r="AO432" s="286">
        <v>22</v>
      </c>
      <c r="AP432" s="286"/>
      <c r="AQ432" s="296"/>
      <c r="AR432" s="286">
        <v>22</v>
      </c>
      <c r="AS432" s="286"/>
      <c r="AT432" s="286">
        <v>22</v>
      </c>
      <c r="AU432" s="286"/>
      <c r="AV432" s="286">
        <v>22</v>
      </c>
      <c r="AW432" s="286"/>
      <c r="AX432" s="286"/>
      <c r="AY432" s="286">
        <v>22</v>
      </c>
      <c r="AZ432" s="286">
        <v>22</v>
      </c>
      <c r="BA432" s="286"/>
      <c r="BB432" s="286">
        <f>AZ432</f>
        <v>22</v>
      </c>
      <c r="BC432" s="286">
        <v>22</v>
      </c>
      <c r="BD432" s="287"/>
      <c r="BE432" s="286">
        <v>22</v>
      </c>
      <c r="BF432" s="287"/>
      <c r="BG432" s="287"/>
      <c r="BH432" s="286">
        <v>22</v>
      </c>
      <c r="BI432" s="287"/>
      <c r="BJ432" s="287"/>
      <c r="BK432" s="287"/>
      <c r="BL432" s="287"/>
      <c r="BM432" s="287"/>
      <c r="BN432" s="287"/>
      <c r="BO432" s="287"/>
      <c r="BP432" s="287"/>
      <c r="BQ432" s="287"/>
      <c r="BR432" s="287"/>
      <c r="BS432" s="287"/>
      <c r="BT432" s="287"/>
      <c r="BU432" s="287"/>
      <c r="BV432" s="287"/>
      <c r="BW432" s="287"/>
      <c r="BX432" s="286">
        <v>22</v>
      </c>
      <c r="BY432" s="289"/>
      <c r="BZ432" s="289"/>
      <c r="CA432" s="289"/>
      <c r="CB432" s="289"/>
      <c r="CC432" s="289"/>
      <c r="CD432" s="289"/>
      <c r="CE432" s="289"/>
      <c r="CF432" s="289"/>
      <c r="CG432" s="287"/>
      <c r="CH432" s="287"/>
      <c r="CI432" s="287"/>
      <c r="CJ432" s="287"/>
      <c r="CK432" s="287"/>
      <c r="CL432" s="287"/>
      <c r="CM432" s="292">
        <v>22</v>
      </c>
      <c r="CN432" s="292">
        <v>22</v>
      </c>
      <c r="CO432" s="287"/>
      <c r="CP432" s="287"/>
      <c r="CQ432" s="287"/>
      <c r="CR432" s="287">
        <v>24</v>
      </c>
      <c r="CS432" s="6"/>
      <c r="CT432" s="6"/>
      <c r="CU432" s="6"/>
      <c r="CV432" s="6"/>
      <c r="CW432" s="6"/>
      <c r="CX432" s="6"/>
      <c r="CY432" s="6"/>
      <c r="CZ432" s="6"/>
      <c r="DA432" s="343">
        <f t="shared" si="17"/>
        <v>19.5</v>
      </c>
    </row>
    <row r="433" spans="1:105" ht="20" customHeight="1" x14ac:dyDescent="0.35">
      <c r="A433" s="290"/>
      <c r="B433" s="270" t="s">
        <v>2198</v>
      </c>
      <c r="C433" s="270" t="s">
        <v>1442</v>
      </c>
      <c r="D433" s="270" t="s">
        <v>630</v>
      </c>
      <c r="E433" s="270" t="s">
        <v>2173</v>
      </c>
      <c r="F433" s="270" t="s">
        <v>2004</v>
      </c>
      <c r="G433" s="270" t="s">
        <v>36</v>
      </c>
      <c r="H433" s="298">
        <v>28</v>
      </c>
      <c r="I433" s="286"/>
      <c r="J433" s="292">
        <v>34</v>
      </c>
      <c r="K433" s="286"/>
      <c r="L433" s="286"/>
      <c r="M433" s="286"/>
      <c r="N433" s="286"/>
      <c r="O433" s="286"/>
      <c r="P433" s="286"/>
      <c r="Q433" s="286"/>
      <c r="R433" s="286"/>
      <c r="S433" s="286"/>
      <c r="T433" s="292">
        <v>34</v>
      </c>
      <c r="U433" s="286"/>
      <c r="V433" s="294"/>
      <c r="W433" s="286"/>
      <c r="X433" s="286"/>
      <c r="Y433" s="286"/>
      <c r="Z433" s="286"/>
      <c r="AA433" s="286"/>
      <c r="AB433" s="286"/>
      <c r="AC433" s="286"/>
      <c r="AD433" s="286"/>
      <c r="AE433" s="286"/>
      <c r="AF433" s="286"/>
      <c r="AG433" s="286"/>
      <c r="AH433" s="286"/>
      <c r="AI433" s="286">
        <v>34</v>
      </c>
      <c r="AJ433" s="286"/>
      <c r="AK433" s="287"/>
      <c r="AL433" s="286"/>
      <c r="AM433" s="287"/>
      <c r="AN433" s="287"/>
      <c r="AO433" s="286"/>
      <c r="AP433" s="286"/>
      <c r="AQ433" s="296"/>
      <c r="AR433" s="292">
        <v>34</v>
      </c>
      <c r="AS433" s="286"/>
      <c r="AT433" s="292">
        <v>34</v>
      </c>
      <c r="AU433" s="292">
        <v>34</v>
      </c>
      <c r="AV433" s="292">
        <v>34</v>
      </c>
      <c r="AW433" s="286"/>
      <c r="AX433" s="286"/>
      <c r="AY433" s="286"/>
      <c r="AZ433" s="286"/>
      <c r="BA433" s="286"/>
      <c r="BB433" s="286"/>
      <c r="BC433" s="286"/>
      <c r="BD433" s="287"/>
      <c r="BE433" s="287"/>
      <c r="BF433" s="287"/>
      <c r="BG433" s="287"/>
      <c r="BH433" s="287"/>
      <c r="BI433" s="287"/>
      <c r="BJ433" s="287"/>
      <c r="BK433" s="287"/>
      <c r="BL433" s="287"/>
      <c r="BM433" s="287"/>
      <c r="BN433" s="287"/>
      <c r="BO433" s="287"/>
      <c r="BP433" s="287"/>
      <c r="BQ433" s="287"/>
      <c r="BR433" s="287"/>
      <c r="BS433" s="287"/>
      <c r="BT433" s="287"/>
      <c r="BU433" s="287"/>
      <c r="BV433" s="287"/>
      <c r="BW433" s="287"/>
      <c r="BX433" s="286"/>
      <c r="BY433" s="289"/>
      <c r="BZ433" s="289"/>
      <c r="CA433" s="289"/>
      <c r="CB433" s="289"/>
      <c r="CC433" s="289"/>
      <c r="CD433" s="289"/>
      <c r="CE433" s="289"/>
      <c r="CF433" s="289"/>
      <c r="CG433" s="287"/>
      <c r="CH433" s="287"/>
      <c r="CI433" s="287"/>
      <c r="CJ433" s="287"/>
      <c r="CK433" s="287"/>
      <c r="CL433" s="287"/>
      <c r="CM433" s="292">
        <v>34</v>
      </c>
      <c r="CN433" s="287"/>
      <c r="CO433" s="292">
        <v>34</v>
      </c>
      <c r="CP433" s="287"/>
      <c r="CQ433" s="287"/>
      <c r="CR433" s="287"/>
      <c r="CS433" s="292"/>
      <c r="CT433" s="6"/>
      <c r="CU433" s="6"/>
      <c r="CV433" s="6"/>
      <c r="CW433" s="6"/>
      <c r="CX433" s="6"/>
      <c r="CY433" s="6"/>
      <c r="CZ433" s="6"/>
      <c r="DA433" s="343">
        <f t="shared" si="17"/>
        <v>28</v>
      </c>
    </row>
    <row r="434" spans="1:105" ht="20" customHeight="1" x14ac:dyDescent="0.35">
      <c r="A434" s="290"/>
      <c r="B434" s="270" t="s">
        <v>2199</v>
      </c>
      <c r="C434" s="270" t="s">
        <v>1442</v>
      </c>
      <c r="D434" s="270" t="s">
        <v>630</v>
      </c>
      <c r="E434" s="270" t="s">
        <v>2173</v>
      </c>
      <c r="F434" s="270" t="s">
        <v>2005</v>
      </c>
      <c r="G434" s="270" t="s">
        <v>36</v>
      </c>
      <c r="H434" s="298">
        <f>H433/2</f>
        <v>14</v>
      </c>
      <c r="I434" s="292">
        <v>18</v>
      </c>
      <c r="J434" s="286"/>
      <c r="K434" s="286"/>
      <c r="L434" s="286"/>
      <c r="M434" s="286"/>
      <c r="N434" s="286"/>
      <c r="O434" s="286"/>
      <c r="P434" s="286"/>
      <c r="Q434" s="286"/>
      <c r="R434" s="286"/>
      <c r="S434" s="286"/>
      <c r="T434" s="286"/>
      <c r="U434" s="286"/>
      <c r="V434" s="294"/>
      <c r="W434" s="286"/>
      <c r="X434" s="286"/>
      <c r="Y434" s="286"/>
      <c r="Z434" s="286"/>
      <c r="AA434" s="286"/>
      <c r="AB434" s="286"/>
      <c r="AC434" s="286"/>
      <c r="AD434" s="286"/>
      <c r="AE434" s="286"/>
      <c r="AF434" s="286"/>
      <c r="AG434" s="286"/>
      <c r="AH434" s="286"/>
      <c r="AI434" s="286"/>
      <c r="AJ434" s="286"/>
      <c r="AK434" s="295"/>
      <c r="AL434" s="288"/>
      <c r="AM434" s="287"/>
      <c r="AN434" s="287"/>
      <c r="AO434" s="287"/>
      <c r="AP434" s="286"/>
      <c r="AQ434" s="296"/>
      <c r="AR434" s="286"/>
      <c r="AS434" s="286"/>
      <c r="AT434" s="286"/>
      <c r="AU434" s="286"/>
      <c r="AV434" s="286"/>
      <c r="AW434" s="286"/>
      <c r="AX434" s="286"/>
      <c r="AY434" s="286"/>
      <c r="AZ434" s="286"/>
      <c r="BA434" s="286"/>
      <c r="BB434" s="286"/>
      <c r="BC434" s="286"/>
      <c r="BD434" s="287"/>
      <c r="BE434" s="287"/>
      <c r="BF434" s="287"/>
      <c r="BG434" s="287"/>
      <c r="BH434" s="287"/>
      <c r="BI434" s="287"/>
      <c r="BJ434" s="287"/>
      <c r="BK434" s="287"/>
      <c r="BL434" s="287"/>
      <c r="BM434" s="287"/>
      <c r="BN434" s="287"/>
      <c r="BO434" s="287"/>
      <c r="BP434" s="287"/>
      <c r="BQ434" s="287"/>
      <c r="BR434" s="287"/>
      <c r="BS434" s="287"/>
      <c r="BT434" s="287"/>
      <c r="BU434" s="287"/>
      <c r="BV434" s="287"/>
      <c r="BW434" s="287"/>
      <c r="BX434" s="286"/>
      <c r="BY434" s="289"/>
      <c r="BZ434" s="289"/>
      <c r="CA434" s="289"/>
      <c r="CB434" s="289"/>
      <c r="CC434" s="289"/>
      <c r="CD434" s="289"/>
      <c r="CE434" s="289"/>
      <c r="CF434" s="289"/>
      <c r="CG434" s="287"/>
      <c r="CH434" s="287"/>
      <c r="CI434" s="287"/>
      <c r="CJ434" s="287"/>
      <c r="CK434" s="287"/>
      <c r="CL434" s="287"/>
      <c r="CM434" s="287"/>
      <c r="CN434" s="287"/>
      <c r="CO434" s="287"/>
      <c r="CP434" s="287"/>
      <c r="CQ434" s="287"/>
      <c r="CR434" s="287"/>
      <c r="CS434" s="296"/>
      <c r="CT434" s="6"/>
      <c r="CU434" s="6"/>
      <c r="CV434" s="6"/>
      <c r="CW434" s="6"/>
      <c r="CX434" s="6"/>
      <c r="CY434" s="6"/>
      <c r="CZ434" s="6"/>
      <c r="DA434" s="343">
        <f t="shared" si="17"/>
        <v>14</v>
      </c>
    </row>
    <row r="435" spans="1:105" ht="20" customHeight="1" x14ac:dyDescent="0.35">
      <c r="A435" s="290"/>
      <c r="B435" s="270" t="s">
        <v>2210</v>
      </c>
      <c r="C435" s="270" t="s">
        <v>2211</v>
      </c>
      <c r="D435" s="270" t="s">
        <v>630</v>
      </c>
      <c r="E435" s="270" t="s">
        <v>2173</v>
      </c>
      <c r="F435" s="270" t="s">
        <v>2212</v>
      </c>
      <c r="G435" s="270" t="s">
        <v>36</v>
      </c>
      <c r="H435" s="298">
        <v>42</v>
      </c>
      <c r="I435" s="286"/>
      <c r="J435" s="292"/>
      <c r="K435" s="286"/>
      <c r="L435" s="286"/>
      <c r="M435" s="286"/>
      <c r="N435" s="286"/>
      <c r="O435" s="286"/>
      <c r="P435" s="286"/>
      <c r="Q435" s="286"/>
      <c r="R435" s="286"/>
      <c r="S435" s="286"/>
      <c r="T435" s="286"/>
      <c r="U435" s="286"/>
      <c r="V435" s="294"/>
      <c r="W435" s="286"/>
      <c r="X435" s="286"/>
      <c r="Y435" s="286"/>
      <c r="Z435" s="286"/>
      <c r="AA435" s="286">
        <v>50</v>
      </c>
      <c r="AB435" s="286"/>
      <c r="AC435" s="286"/>
      <c r="AD435" s="286"/>
      <c r="AE435" s="286"/>
      <c r="AF435" s="286"/>
      <c r="AG435" s="286"/>
      <c r="AH435" s="286"/>
      <c r="AI435" s="286"/>
      <c r="AJ435" s="286"/>
      <c r="AK435" s="287"/>
      <c r="AL435" s="286"/>
      <c r="AM435" s="287"/>
      <c r="AN435" s="287"/>
      <c r="AO435" s="286"/>
      <c r="AP435" s="286"/>
      <c r="AQ435" s="296"/>
      <c r="AR435" s="292"/>
      <c r="AS435" s="286"/>
      <c r="AT435" s="286"/>
      <c r="AU435" s="286"/>
      <c r="AV435" s="286"/>
      <c r="AW435" s="286"/>
      <c r="AX435" s="286"/>
      <c r="AY435" s="286"/>
      <c r="AZ435" s="286"/>
      <c r="BA435" s="286"/>
      <c r="BB435" s="286"/>
      <c r="BC435" s="286"/>
      <c r="BD435" s="287"/>
      <c r="BE435" s="287"/>
      <c r="BF435" s="287"/>
      <c r="BG435" s="287"/>
      <c r="BH435" s="287"/>
      <c r="BI435" s="287"/>
      <c r="BJ435" s="287"/>
      <c r="BK435" s="287"/>
      <c r="BL435" s="287"/>
      <c r="BM435" s="287"/>
      <c r="BN435" s="287"/>
      <c r="BO435" s="287"/>
      <c r="BP435" s="287"/>
      <c r="BQ435" s="287"/>
      <c r="BR435" s="287"/>
      <c r="BS435" s="287"/>
      <c r="BT435" s="287"/>
      <c r="BU435" s="287"/>
      <c r="BV435" s="287"/>
      <c r="BW435" s="287"/>
      <c r="BX435" s="286"/>
      <c r="BY435" s="289"/>
      <c r="BZ435" s="289"/>
      <c r="CA435" s="289"/>
      <c r="CB435" s="289"/>
      <c r="CC435" s="289"/>
      <c r="CD435" s="289"/>
      <c r="CE435" s="289"/>
      <c r="CF435" s="289"/>
      <c r="CG435" s="287"/>
      <c r="CH435" s="287"/>
      <c r="CI435" s="287"/>
      <c r="CJ435" s="287"/>
      <c r="CK435" s="287"/>
      <c r="CL435" s="287"/>
      <c r="CM435" s="292"/>
      <c r="CN435" s="287"/>
      <c r="CO435" s="292"/>
      <c r="CP435" s="287"/>
      <c r="CQ435" s="287"/>
      <c r="CR435" s="287">
        <v>50</v>
      </c>
      <c r="CS435" s="292"/>
      <c r="CT435" s="6"/>
      <c r="CU435" s="6"/>
      <c r="CV435" s="6"/>
      <c r="CW435" s="6"/>
      <c r="CX435" s="6"/>
      <c r="CY435" s="6"/>
      <c r="CZ435" s="6"/>
      <c r="DA435" s="343">
        <f t="shared" ref="DA435" si="18">H435</f>
        <v>42</v>
      </c>
    </row>
    <row r="436" spans="1:105" ht="20" customHeight="1" x14ac:dyDescent="0.35">
      <c r="A436" s="290"/>
      <c r="B436" s="270" t="s">
        <v>2222</v>
      </c>
      <c r="C436" s="270" t="s">
        <v>1539</v>
      </c>
      <c r="D436" s="297" t="s">
        <v>632</v>
      </c>
      <c r="E436" s="270" t="s">
        <v>2173</v>
      </c>
      <c r="F436" s="270" t="s">
        <v>2004</v>
      </c>
      <c r="G436" s="270" t="s">
        <v>36</v>
      </c>
      <c r="H436" s="298">
        <v>20</v>
      </c>
      <c r="I436" s="300">
        <v>24</v>
      </c>
      <c r="J436" s="286"/>
      <c r="K436" s="286"/>
      <c r="L436" s="286"/>
      <c r="M436" s="286"/>
      <c r="N436" s="292"/>
      <c r="O436" s="286"/>
      <c r="P436" s="286"/>
      <c r="Q436" s="286"/>
      <c r="R436" s="292">
        <v>26</v>
      </c>
      <c r="S436" s="286"/>
      <c r="T436" s="286"/>
      <c r="U436" s="286"/>
      <c r="V436" s="294"/>
      <c r="W436" s="286"/>
      <c r="X436" s="286"/>
      <c r="Y436" s="286">
        <v>26</v>
      </c>
      <c r="Z436" s="286"/>
      <c r="AA436" s="286"/>
      <c r="AB436" s="286"/>
      <c r="AC436" s="286"/>
      <c r="AD436" s="286"/>
      <c r="AE436" s="286">
        <v>26</v>
      </c>
      <c r="AF436" s="286"/>
      <c r="AG436" s="286"/>
      <c r="AH436" s="286"/>
      <c r="AI436" s="286"/>
      <c r="AJ436" s="286"/>
      <c r="AK436" s="287"/>
      <c r="AL436" s="286"/>
      <c r="AM436" s="287"/>
      <c r="AN436" s="287"/>
      <c r="AO436" s="286"/>
      <c r="AP436" s="286"/>
      <c r="AQ436" s="296"/>
      <c r="AR436" s="286"/>
      <c r="AS436" s="286"/>
      <c r="AT436" s="286"/>
      <c r="AU436" s="286"/>
      <c r="AV436" s="286">
        <v>24</v>
      </c>
      <c r="AW436" s="286">
        <v>24</v>
      </c>
      <c r="AX436" s="286">
        <v>24</v>
      </c>
      <c r="AY436" s="286">
        <v>24</v>
      </c>
      <c r="AZ436" s="286"/>
      <c r="BA436" s="286">
        <v>24</v>
      </c>
      <c r="BB436" s="286">
        <v>24</v>
      </c>
      <c r="BC436" s="286">
        <v>24</v>
      </c>
      <c r="BD436" s="287"/>
      <c r="BE436" s="287"/>
      <c r="BF436" s="287"/>
      <c r="BG436" s="287"/>
      <c r="BH436" s="286">
        <v>24</v>
      </c>
      <c r="BI436" s="287"/>
      <c r="BJ436" s="287"/>
      <c r="BK436" s="287"/>
      <c r="BL436" s="287"/>
      <c r="BM436" s="287"/>
      <c r="BN436" s="287"/>
      <c r="BO436" s="287"/>
      <c r="BP436" s="287"/>
      <c r="BQ436" s="287"/>
      <c r="BR436" s="287"/>
      <c r="BS436" s="287"/>
      <c r="BT436" s="287"/>
      <c r="BU436" s="287"/>
      <c r="BV436" s="287"/>
      <c r="BW436" s="287"/>
      <c r="BX436" s="286"/>
      <c r="BY436" s="289"/>
      <c r="BZ436" s="289">
        <v>26</v>
      </c>
      <c r="CA436" s="289"/>
      <c r="CB436" s="289"/>
      <c r="CC436" s="289"/>
      <c r="CD436" s="289"/>
      <c r="CE436" s="289"/>
      <c r="CF436" s="289"/>
      <c r="CG436" s="287"/>
      <c r="CH436" s="287"/>
      <c r="CI436" s="287"/>
      <c r="CJ436" s="287"/>
      <c r="CK436" s="287"/>
      <c r="CL436" s="287"/>
      <c r="CM436" s="286">
        <v>24</v>
      </c>
      <c r="CN436" s="286">
        <v>24</v>
      </c>
      <c r="CO436" s="292">
        <v>24</v>
      </c>
      <c r="CP436" s="287"/>
      <c r="CQ436" s="287"/>
      <c r="CR436" s="287">
        <v>50</v>
      </c>
      <c r="CS436" s="292"/>
      <c r="CT436" s="6"/>
      <c r="CU436" s="6"/>
      <c r="CV436" s="6"/>
      <c r="CW436" s="6"/>
      <c r="CX436" s="6"/>
      <c r="CY436" s="6"/>
      <c r="CZ436" s="6"/>
      <c r="DA436" s="343">
        <f t="shared" ref="DA436" si="19">H436</f>
        <v>20</v>
      </c>
    </row>
    <row r="437" spans="1:105" ht="20" customHeight="1" x14ac:dyDescent="0.35">
      <c r="A437" s="301"/>
      <c r="B437" s="270" t="s">
        <v>984</v>
      </c>
      <c r="C437" s="270" t="s">
        <v>1436</v>
      </c>
      <c r="D437" s="297" t="s">
        <v>632</v>
      </c>
      <c r="E437" s="270" t="s">
        <v>34</v>
      </c>
      <c r="F437" s="270" t="s">
        <v>1831</v>
      </c>
      <c r="G437" s="270" t="s">
        <v>36</v>
      </c>
      <c r="H437" s="298">
        <v>28</v>
      </c>
      <c r="I437" s="286"/>
      <c r="J437" s="286"/>
      <c r="K437" s="286"/>
      <c r="L437" s="286"/>
      <c r="M437" s="286"/>
      <c r="N437" s="286"/>
      <c r="O437" s="286"/>
      <c r="P437" s="286"/>
      <c r="Q437" s="286"/>
      <c r="R437" s="286"/>
      <c r="S437" s="286"/>
      <c r="T437" s="286"/>
      <c r="U437" s="286"/>
      <c r="V437" s="286"/>
      <c r="W437" s="286"/>
      <c r="X437" s="286"/>
      <c r="Y437" s="286"/>
      <c r="Z437" s="286"/>
      <c r="AA437" s="286"/>
      <c r="AB437" s="286"/>
      <c r="AC437" s="286"/>
      <c r="AD437" s="286"/>
      <c r="AE437" s="286"/>
      <c r="AF437" s="286"/>
      <c r="AG437" s="286"/>
      <c r="AH437" s="286"/>
      <c r="AI437" s="286"/>
      <c r="AJ437" s="286"/>
      <c r="AK437" s="287"/>
      <c r="AL437" s="288"/>
      <c r="AM437" s="287"/>
      <c r="AN437" s="287"/>
      <c r="AO437" s="287"/>
      <c r="AP437" s="286"/>
      <c r="AQ437" s="296"/>
      <c r="AR437" s="286"/>
      <c r="AS437" s="286"/>
      <c r="AT437" s="286"/>
      <c r="AU437" s="286"/>
      <c r="AV437" s="286"/>
      <c r="AW437" s="286"/>
      <c r="AX437" s="286"/>
      <c r="AY437" s="286"/>
      <c r="AZ437" s="286"/>
      <c r="BA437" s="286"/>
      <c r="BB437" s="286"/>
      <c r="BC437" s="286"/>
      <c r="BD437" s="287"/>
      <c r="BE437" s="287"/>
      <c r="BF437" s="287"/>
      <c r="BG437" s="287"/>
      <c r="BH437" s="287"/>
      <c r="BI437" s="287"/>
      <c r="BJ437" s="287"/>
      <c r="BK437" s="287"/>
      <c r="BL437" s="287"/>
      <c r="BM437" s="287"/>
      <c r="BN437" s="287"/>
      <c r="BO437" s="287"/>
      <c r="BP437" s="287"/>
      <c r="BQ437" s="287"/>
      <c r="BR437" s="287"/>
      <c r="BS437" s="287"/>
      <c r="BT437" s="287"/>
      <c r="BU437" s="287"/>
      <c r="BV437" s="287"/>
      <c r="BW437" s="287"/>
      <c r="BX437" s="286"/>
      <c r="BY437" s="289"/>
      <c r="BZ437" s="289"/>
      <c r="CA437" s="289"/>
      <c r="CB437" s="289"/>
      <c r="CC437" s="289"/>
      <c r="CD437" s="289"/>
      <c r="CE437" s="289"/>
      <c r="CF437" s="289"/>
      <c r="CG437" s="287"/>
      <c r="CH437" s="287"/>
      <c r="CI437" s="287"/>
      <c r="CJ437" s="287"/>
      <c r="CK437" s="287"/>
      <c r="CL437" s="287"/>
      <c r="CM437" s="287"/>
      <c r="CN437" s="287"/>
      <c r="CO437" s="287"/>
      <c r="CP437" s="287"/>
      <c r="CQ437" s="287"/>
      <c r="CR437" s="287"/>
      <c r="CS437" s="6"/>
      <c r="CT437" s="6"/>
      <c r="CU437" s="6"/>
      <c r="CV437" s="6"/>
      <c r="CW437" s="6"/>
      <c r="CX437" s="6"/>
      <c r="CY437" s="6"/>
      <c r="CZ437" s="6"/>
      <c r="DA437" s="343">
        <f t="shared" si="17"/>
        <v>28</v>
      </c>
    </row>
    <row r="438" spans="1:105" ht="20" customHeight="1" x14ac:dyDescent="0.35">
      <c r="A438" s="290"/>
      <c r="B438" s="270" t="s">
        <v>985</v>
      </c>
      <c r="C438" s="270" t="s">
        <v>1436</v>
      </c>
      <c r="D438" s="297" t="s">
        <v>632</v>
      </c>
      <c r="E438" s="270" t="s">
        <v>378</v>
      </c>
      <c r="F438" s="270" t="s">
        <v>614</v>
      </c>
      <c r="G438" s="270" t="s">
        <v>38</v>
      </c>
      <c r="H438" s="298">
        <f>H437/6</f>
        <v>4.666666666666667</v>
      </c>
      <c r="I438" s="292">
        <v>6</v>
      </c>
      <c r="J438" s="292">
        <v>6.5</v>
      </c>
      <c r="K438" s="286"/>
      <c r="L438" s="286">
        <v>0</v>
      </c>
      <c r="M438" s="286"/>
      <c r="N438" s="292">
        <v>7</v>
      </c>
      <c r="O438" s="286">
        <v>7</v>
      </c>
      <c r="P438" s="292">
        <v>7</v>
      </c>
      <c r="Q438" s="286">
        <v>7</v>
      </c>
      <c r="R438" s="286">
        <v>7</v>
      </c>
      <c r="S438" s="286">
        <v>7</v>
      </c>
      <c r="T438" s="286">
        <v>6.5</v>
      </c>
      <c r="U438" s="286"/>
      <c r="V438" s="294"/>
      <c r="W438" s="286"/>
      <c r="X438" s="286"/>
      <c r="Y438" s="286"/>
      <c r="Z438" s="286"/>
      <c r="AA438" s="286"/>
      <c r="AB438" s="286"/>
      <c r="AC438" s="286">
        <v>7</v>
      </c>
      <c r="AD438" s="286"/>
      <c r="AE438" s="286"/>
      <c r="AF438" s="286"/>
      <c r="AG438" s="286"/>
      <c r="AH438" s="286"/>
      <c r="AI438" s="286"/>
      <c r="AJ438" s="286"/>
      <c r="AK438" s="295">
        <v>8</v>
      </c>
      <c r="AL438" s="288"/>
      <c r="AM438" s="287"/>
      <c r="AN438" s="287"/>
      <c r="AO438" s="287">
        <v>6.5</v>
      </c>
      <c r="AP438" s="286">
        <v>6.5</v>
      </c>
      <c r="AQ438" s="296">
        <v>7.5</v>
      </c>
      <c r="AR438" s="286">
        <v>6.5</v>
      </c>
      <c r="AS438" s="286"/>
      <c r="AT438" s="286">
        <v>6.5</v>
      </c>
      <c r="AU438" s="286">
        <v>6.5</v>
      </c>
      <c r="AV438" s="286">
        <v>6.5</v>
      </c>
      <c r="AW438" s="286">
        <v>6.5</v>
      </c>
      <c r="AX438" s="286">
        <v>6.5</v>
      </c>
      <c r="AY438" s="286">
        <v>6.5</v>
      </c>
      <c r="AZ438" s="286">
        <v>6.5</v>
      </c>
      <c r="BA438" s="286">
        <v>6.5</v>
      </c>
      <c r="BB438" s="286">
        <f>BA438</f>
        <v>6.5</v>
      </c>
      <c r="BC438" s="286">
        <v>6.5</v>
      </c>
      <c r="BD438" s="287"/>
      <c r="BE438" s="287"/>
      <c r="BF438" s="287"/>
      <c r="BG438" s="288">
        <v>7</v>
      </c>
      <c r="BH438" s="287"/>
      <c r="BI438" s="287"/>
      <c r="BJ438" s="287"/>
      <c r="BK438" s="287"/>
      <c r="BL438" s="287"/>
      <c r="BM438" s="287"/>
      <c r="BN438" s="287"/>
      <c r="BO438" s="287"/>
      <c r="BP438" s="287"/>
      <c r="BQ438" s="287"/>
      <c r="BR438" s="287"/>
      <c r="BS438" s="287"/>
      <c r="BT438" s="287"/>
      <c r="BU438" s="287">
        <v>7</v>
      </c>
      <c r="BV438" s="287"/>
      <c r="BW438" s="287"/>
      <c r="BX438" s="286">
        <v>6.5</v>
      </c>
      <c r="BY438" s="289"/>
      <c r="BZ438" s="289"/>
      <c r="CA438" s="289"/>
      <c r="CB438" s="289"/>
      <c r="CC438" s="289"/>
      <c r="CD438" s="289"/>
      <c r="CE438" s="289"/>
      <c r="CF438" s="289"/>
      <c r="CG438" s="287"/>
      <c r="CH438" s="287"/>
      <c r="CI438" s="287"/>
      <c r="CJ438" s="287"/>
      <c r="CK438" s="287"/>
      <c r="CL438" s="287"/>
      <c r="CM438" s="287"/>
      <c r="CN438" s="292">
        <v>6.5</v>
      </c>
      <c r="CO438" s="287"/>
      <c r="CP438" s="287"/>
      <c r="CQ438" s="287"/>
      <c r="CR438" s="287"/>
      <c r="CS438" s="288">
        <v>6</v>
      </c>
      <c r="CT438" s="6"/>
      <c r="CU438" s="6"/>
      <c r="CV438" s="6"/>
      <c r="CW438" s="6"/>
      <c r="CX438" s="6"/>
      <c r="CY438" s="6"/>
      <c r="CZ438" s="6"/>
      <c r="DA438" s="343">
        <f t="shared" si="17"/>
        <v>4.666666666666667</v>
      </c>
    </row>
    <row r="439" spans="1:105" ht="20" customHeight="1" x14ac:dyDescent="0.35">
      <c r="A439" s="290"/>
      <c r="B439" s="270" t="s">
        <v>986</v>
      </c>
      <c r="C439" s="270" t="s">
        <v>236</v>
      </c>
      <c r="D439" s="297" t="s">
        <v>632</v>
      </c>
      <c r="E439" s="270" t="s">
        <v>378</v>
      </c>
      <c r="F439" s="270" t="s">
        <v>1830</v>
      </c>
      <c r="G439" s="270" t="s">
        <v>39</v>
      </c>
      <c r="H439" s="298">
        <f>H440*6</f>
        <v>75</v>
      </c>
      <c r="I439" s="292"/>
      <c r="J439" s="286"/>
      <c r="K439" s="286"/>
      <c r="L439" s="286"/>
      <c r="M439" s="286"/>
      <c r="N439" s="286"/>
      <c r="O439" s="286"/>
      <c r="P439" s="286"/>
      <c r="Q439" s="286"/>
      <c r="R439" s="286"/>
      <c r="S439" s="286"/>
      <c r="T439" s="286"/>
      <c r="U439" s="286"/>
      <c r="V439" s="294"/>
      <c r="W439" s="286"/>
      <c r="X439" s="286"/>
      <c r="Y439" s="286"/>
      <c r="Z439" s="286"/>
      <c r="AA439" s="286"/>
      <c r="AB439" s="286"/>
      <c r="AC439" s="286"/>
      <c r="AD439" s="286"/>
      <c r="AE439" s="286"/>
      <c r="AF439" s="286"/>
      <c r="AG439" s="286"/>
      <c r="AH439" s="286"/>
      <c r="AI439" s="286"/>
      <c r="AJ439" s="286"/>
      <c r="AK439" s="287"/>
      <c r="AL439" s="288"/>
      <c r="AM439" s="287"/>
      <c r="AN439" s="287"/>
      <c r="AO439" s="287"/>
      <c r="AP439" s="286"/>
      <c r="AQ439" s="296"/>
      <c r="AR439" s="286"/>
      <c r="AS439" s="286"/>
      <c r="AT439" s="286"/>
      <c r="AU439" s="286"/>
      <c r="AV439" s="286"/>
      <c r="AW439" s="286"/>
      <c r="AX439" s="286"/>
      <c r="AY439" s="286"/>
      <c r="AZ439" s="286"/>
      <c r="BA439" s="286"/>
      <c r="BB439" s="286"/>
      <c r="BC439" s="286"/>
      <c r="BD439" s="287"/>
      <c r="BE439" s="287"/>
      <c r="BF439" s="287"/>
      <c r="BG439" s="287"/>
      <c r="BH439" s="287"/>
      <c r="BI439" s="287"/>
      <c r="BJ439" s="287"/>
      <c r="BK439" s="287"/>
      <c r="BL439" s="287"/>
      <c r="BM439" s="287"/>
      <c r="BN439" s="287"/>
      <c r="BO439" s="287"/>
      <c r="BP439" s="287"/>
      <c r="BQ439" s="287"/>
      <c r="BR439" s="287"/>
      <c r="BS439" s="287"/>
      <c r="BT439" s="287"/>
      <c r="BU439" s="287"/>
      <c r="BV439" s="287"/>
      <c r="BW439" s="287"/>
      <c r="BX439" s="286"/>
      <c r="BY439" s="289"/>
      <c r="BZ439" s="289"/>
      <c r="CA439" s="289"/>
      <c r="CB439" s="289"/>
      <c r="CC439" s="289"/>
      <c r="CD439" s="289"/>
      <c r="CE439" s="289"/>
      <c r="CF439" s="289"/>
      <c r="CG439" s="287"/>
      <c r="CH439" s="287"/>
      <c r="CI439" s="287"/>
      <c r="CJ439" s="287"/>
      <c r="CK439" s="287"/>
      <c r="CL439" s="287"/>
      <c r="CM439" s="287"/>
      <c r="CN439" s="287"/>
      <c r="CO439" s="287"/>
      <c r="CP439" s="287"/>
      <c r="CQ439" s="287"/>
      <c r="CR439" s="287"/>
      <c r="CS439" s="6"/>
      <c r="CT439" s="6"/>
      <c r="CU439" s="6"/>
      <c r="CV439" s="6"/>
      <c r="CW439" s="6"/>
      <c r="CX439" s="6"/>
      <c r="CY439" s="6"/>
      <c r="CZ439" s="6"/>
      <c r="DA439" s="343">
        <f t="shared" si="17"/>
        <v>75</v>
      </c>
    </row>
    <row r="440" spans="1:105" ht="20" customHeight="1" x14ac:dyDescent="0.35">
      <c r="A440" s="290">
        <v>520700</v>
      </c>
      <c r="B440" s="270" t="s">
        <v>987</v>
      </c>
      <c r="C440" s="270" t="s">
        <v>236</v>
      </c>
      <c r="D440" s="297" t="s">
        <v>632</v>
      </c>
      <c r="E440" s="270" t="s">
        <v>378</v>
      </c>
      <c r="F440" s="270" t="s">
        <v>1829</v>
      </c>
      <c r="G440" s="270" t="s">
        <v>39</v>
      </c>
      <c r="H440" s="298">
        <v>12.5</v>
      </c>
      <c r="I440" s="300">
        <v>17</v>
      </c>
      <c r="J440" s="292">
        <v>15</v>
      </c>
      <c r="K440" s="300">
        <v>16.5</v>
      </c>
      <c r="L440" s="286">
        <v>16.5</v>
      </c>
      <c r="M440" s="286"/>
      <c r="N440" s="292">
        <v>16.5</v>
      </c>
      <c r="O440" s="286">
        <v>16.5</v>
      </c>
      <c r="P440" s="292">
        <v>16.5</v>
      </c>
      <c r="Q440" s="286">
        <v>16.5</v>
      </c>
      <c r="R440" s="286">
        <v>17</v>
      </c>
      <c r="S440" s="286">
        <v>18</v>
      </c>
      <c r="T440" s="286">
        <v>15</v>
      </c>
      <c r="U440" s="286"/>
      <c r="V440" s="294"/>
      <c r="W440" s="286"/>
      <c r="X440" s="286"/>
      <c r="Y440" s="286">
        <v>17</v>
      </c>
      <c r="Z440" s="286"/>
      <c r="AA440" s="286"/>
      <c r="AB440" s="286"/>
      <c r="AC440" s="286">
        <v>16.5</v>
      </c>
      <c r="AD440" s="286"/>
      <c r="AE440" s="286"/>
      <c r="AF440" s="286"/>
      <c r="AG440" s="286"/>
      <c r="AH440" s="286"/>
      <c r="AI440" s="286"/>
      <c r="AJ440" s="286"/>
      <c r="AK440" s="295">
        <v>16</v>
      </c>
      <c r="AL440" s="288"/>
      <c r="AM440" s="287"/>
      <c r="AN440" s="287"/>
      <c r="AO440" s="287"/>
      <c r="AP440" s="286">
        <v>15</v>
      </c>
      <c r="AQ440" s="296">
        <v>17</v>
      </c>
      <c r="AR440" s="286">
        <v>15</v>
      </c>
      <c r="AS440" s="286"/>
      <c r="AT440" s="286">
        <v>15</v>
      </c>
      <c r="AU440" s="286">
        <v>15</v>
      </c>
      <c r="AV440" s="286">
        <v>15</v>
      </c>
      <c r="AW440" s="286">
        <v>15</v>
      </c>
      <c r="AX440" s="286">
        <v>15</v>
      </c>
      <c r="AY440" s="286">
        <v>15</v>
      </c>
      <c r="AZ440" s="286">
        <v>15</v>
      </c>
      <c r="BA440" s="286">
        <v>15</v>
      </c>
      <c r="BB440" s="286">
        <f>BA440</f>
        <v>15</v>
      </c>
      <c r="BC440" s="286">
        <v>15</v>
      </c>
      <c r="BD440" s="287"/>
      <c r="BE440" s="286">
        <v>15</v>
      </c>
      <c r="BF440" s="287"/>
      <c r="BG440" s="288">
        <v>17</v>
      </c>
      <c r="BH440" s="286">
        <v>15</v>
      </c>
      <c r="BI440" s="287"/>
      <c r="BJ440" s="287"/>
      <c r="BK440" s="287"/>
      <c r="BL440" s="287"/>
      <c r="BM440" s="287"/>
      <c r="BN440" s="287"/>
      <c r="BO440" s="287"/>
      <c r="BP440" s="287"/>
      <c r="BQ440" s="287"/>
      <c r="BR440" s="287"/>
      <c r="BS440" s="287"/>
      <c r="BT440" s="287"/>
      <c r="BU440" s="287">
        <v>16.5</v>
      </c>
      <c r="BV440" s="287"/>
      <c r="BW440" s="287"/>
      <c r="BX440" s="286">
        <f>J440</f>
        <v>15</v>
      </c>
      <c r="BY440" s="289"/>
      <c r="BZ440" s="289">
        <v>16.5</v>
      </c>
      <c r="CA440" s="289"/>
      <c r="CB440" s="289"/>
      <c r="CC440" s="289"/>
      <c r="CD440" s="289"/>
      <c r="CE440" s="289"/>
      <c r="CF440" s="289"/>
      <c r="CG440" s="287"/>
      <c r="CH440" s="287"/>
      <c r="CI440" s="287"/>
      <c r="CJ440" s="287"/>
      <c r="CK440" s="287"/>
      <c r="CL440" s="287"/>
      <c r="CM440" s="287"/>
      <c r="CN440" s="292">
        <v>15</v>
      </c>
      <c r="CO440" s="292">
        <v>15</v>
      </c>
      <c r="CP440" s="287"/>
      <c r="CQ440" s="287">
        <v>17.5</v>
      </c>
      <c r="CR440" s="292">
        <v>15</v>
      </c>
      <c r="CS440" s="6"/>
      <c r="CT440" s="6"/>
      <c r="CU440" s="6"/>
      <c r="CV440" s="6"/>
      <c r="CW440" s="6"/>
      <c r="CX440" s="6"/>
      <c r="CY440" s="6"/>
      <c r="CZ440" s="6"/>
      <c r="DA440" s="343">
        <f t="shared" si="17"/>
        <v>12.5</v>
      </c>
    </row>
    <row r="441" spans="1:105" ht="20" customHeight="1" x14ac:dyDescent="0.35">
      <c r="A441" s="290" t="s">
        <v>2070</v>
      </c>
      <c r="B441" s="270" t="s">
        <v>987</v>
      </c>
      <c r="C441" s="270" t="s">
        <v>236</v>
      </c>
      <c r="D441" s="297" t="s">
        <v>632</v>
      </c>
      <c r="E441" s="270" t="s">
        <v>378</v>
      </c>
      <c r="F441" s="270" t="s">
        <v>1829</v>
      </c>
      <c r="G441" s="270" t="s">
        <v>39</v>
      </c>
      <c r="H441" s="298">
        <v>12.5</v>
      </c>
      <c r="I441" s="292"/>
      <c r="J441" s="292"/>
      <c r="K441" s="300"/>
      <c r="L441" s="286"/>
      <c r="M441" s="286"/>
      <c r="N441" s="292"/>
      <c r="O441" s="286"/>
      <c r="P441" s="292"/>
      <c r="Q441" s="286"/>
      <c r="R441" s="286"/>
      <c r="S441" s="286"/>
      <c r="T441" s="286"/>
      <c r="U441" s="286"/>
      <c r="V441" s="294"/>
      <c r="W441" s="286"/>
      <c r="X441" s="286"/>
      <c r="Y441" s="286"/>
      <c r="Z441" s="286"/>
      <c r="AA441" s="286"/>
      <c r="AB441" s="286"/>
      <c r="AC441" s="286"/>
      <c r="AD441" s="286"/>
      <c r="AE441" s="286"/>
      <c r="AF441" s="286"/>
      <c r="AG441" s="286"/>
      <c r="AH441" s="286"/>
      <c r="AI441" s="286"/>
      <c r="AJ441" s="286"/>
      <c r="AK441" s="295"/>
      <c r="AL441" s="288"/>
      <c r="AM441" s="287"/>
      <c r="AN441" s="287"/>
      <c r="AO441" s="287"/>
      <c r="AP441" s="286"/>
      <c r="AQ441" s="296"/>
      <c r="AR441" s="286"/>
      <c r="AS441" s="286"/>
      <c r="AT441" s="286"/>
      <c r="AU441" s="286"/>
      <c r="AV441" s="286"/>
      <c r="AW441" s="286"/>
      <c r="AX441" s="286"/>
      <c r="AY441" s="286"/>
      <c r="AZ441" s="286"/>
      <c r="BA441" s="286"/>
      <c r="BB441" s="286"/>
      <c r="BC441" s="286"/>
      <c r="BD441" s="287"/>
      <c r="BE441" s="286"/>
      <c r="BF441" s="287"/>
      <c r="BG441" s="288"/>
      <c r="BH441" s="286"/>
      <c r="BI441" s="287"/>
      <c r="BJ441" s="287"/>
      <c r="BK441" s="287"/>
      <c r="BL441" s="287"/>
      <c r="BM441" s="287"/>
      <c r="BN441" s="287"/>
      <c r="BO441" s="287"/>
      <c r="BP441" s="287"/>
      <c r="BQ441" s="287"/>
      <c r="BR441" s="287"/>
      <c r="BS441" s="287"/>
      <c r="BT441" s="287"/>
      <c r="BU441" s="287"/>
      <c r="BV441" s="287"/>
      <c r="BW441" s="287"/>
      <c r="BX441" s="286"/>
      <c r="BY441" s="289"/>
      <c r="BZ441" s="289"/>
      <c r="CA441" s="289"/>
      <c r="CB441" s="289"/>
      <c r="CC441" s="289"/>
      <c r="CD441" s="289"/>
      <c r="CE441" s="289"/>
      <c r="CF441" s="289"/>
      <c r="CG441" s="287"/>
      <c r="CH441" s="287"/>
      <c r="CI441" s="287"/>
      <c r="CJ441" s="287"/>
      <c r="CK441" s="287"/>
      <c r="CL441" s="287"/>
      <c r="CM441" s="287"/>
      <c r="CN441" s="292"/>
      <c r="CO441" s="292"/>
      <c r="CP441" s="287"/>
      <c r="CQ441" s="287">
        <v>17.5</v>
      </c>
      <c r="CR441" s="292"/>
      <c r="CS441" s="6"/>
      <c r="CT441" s="6"/>
      <c r="CU441" s="6"/>
      <c r="CV441" s="6"/>
      <c r="CW441" s="6"/>
      <c r="CX441" s="6"/>
      <c r="CY441" s="6"/>
      <c r="CZ441" s="6"/>
      <c r="DA441" s="343">
        <f>H441</f>
        <v>12.5</v>
      </c>
    </row>
    <row r="442" spans="1:105" ht="20" customHeight="1" x14ac:dyDescent="0.35">
      <c r="A442" s="290"/>
      <c r="B442" s="270" t="s">
        <v>1282</v>
      </c>
      <c r="C442" s="270" t="s">
        <v>236</v>
      </c>
      <c r="D442" s="297" t="s">
        <v>632</v>
      </c>
      <c r="E442" s="270" t="s">
        <v>632</v>
      </c>
      <c r="F442" s="270" t="s">
        <v>1829</v>
      </c>
      <c r="G442" s="270" t="s">
        <v>39</v>
      </c>
      <c r="H442" s="298">
        <v>0</v>
      </c>
      <c r="I442" s="300">
        <v>17</v>
      </c>
      <c r="J442" s="286"/>
      <c r="K442" s="300"/>
      <c r="L442" s="286"/>
      <c r="M442" s="286"/>
      <c r="N442" s="292"/>
      <c r="O442" s="286"/>
      <c r="P442" s="292"/>
      <c r="Q442" s="286"/>
      <c r="R442" s="286"/>
      <c r="S442" s="286"/>
      <c r="T442" s="286"/>
      <c r="U442" s="286"/>
      <c r="V442" s="294"/>
      <c r="W442" s="286"/>
      <c r="X442" s="286"/>
      <c r="Y442" s="286"/>
      <c r="Z442" s="286"/>
      <c r="AA442" s="286"/>
      <c r="AB442" s="286"/>
      <c r="AC442" s="286"/>
      <c r="AD442" s="286"/>
      <c r="AE442" s="286"/>
      <c r="AF442" s="286"/>
      <c r="AG442" s="286"/>
      <c r="AH442" s="286"/>
      <c r="AI442" s="286"/>
      <c r="AJ442" s="286"/>
      <c r="AK442" s="287"/>
      <c r="AL442" s="288"/>
      <c r="AM442" s="287"/>
      <c r="AN442" s="287"/>
      <c r="AO442" s="287"/>
      <c r="AP442" s="286"/>
      <c r="AQ442" s="296"/>
      <c r="AR442" s="286"/>
      <c r="AS442" s="286"/>
      <c r="AT442" s="286"/>
      <c r="AU442" s="286"/>
      <c r="AV442" s="286"/>
      <c r="AW442" s="286"/>
      <c r="AX442" s="286"/>
      <c r="AY442" s="286"/>
      <c r="AZ442" s="286"/>
      <c r="BA442" s="286"/>
      <c r="BB442" s="286"/>
      <c r="BC442" s="286"/>
      <c r="BD442" s="287"/>
      <c r="BE442" s="287"/>
      <c r="BF442" s="287"/>
      <c r="BG442" s="287"/>
      <c r="BH442" s="287"/>
      <c r="BI442" s="287"/>
      <c r="BJ442" s="287"/>
      <c r="BK442" s="287"/>
      <c r="BL442" s="287"/>
      <c r="BM442" s="287"/>
      <c r="BN442" s="287"/>
      <c r="BO442" s="287"/>
      <c r="BP442" s="287"/>
      <c r="BQ442" s="287"/>
      <c r="BR442" s="287"/>
      <c r="BS442" s="287"/>
      <c r="BT442" s="287"/>
      <c r="BU442" s="287"/>
      <c r="BV442" s="287"/>
      <c r="BW442" s="287"/>
      <c r="BX442" s="286"/>
      <c r="BY442" s="289"/>
      <c r="BZ442" s="289"/>
      <c r="CA442" s="289"/>
      <c r="CB442" s="289"/>
      <c r="CC442" s="289"/>
      <c r="CD442" s="289"/>
      <c r="CE442" s="289"/>
      <c r="CF442" s="289"/>
      <c r="CG442" s="287"/>
      <c r="CH442" s="287"/>
      <c r="CI442" s="287"/>
      <c r="CJ442" s="287"/>
      <c r="CK442" s="287"/>
      <c r="CL442" s="287"/>
      <c r="CM442" s="287"/>
      <c r="CN442" s="287"/>
      <c r="CO442" s="287"/>
      <c r="CP442" s="287"/>
      <c r="CQ442" s="287"/>
      <c r="CR442" s="287"/>
      <c r="CS442" s="326">
        <v>15</v>
      </c>
      <c r="CT442" s="6"/>
      <c r="CU442" s="6"/>
      <c r="CV442" s="6"/>
      <c r="CW442" s="6"/>
      <c r="CX442" s="6"/>
      <c r="CY442" s="6"/>
      <c r="CZ442" s="6"/>
      <c r="DA442" s="343">
        <f t="shared" si="17"/>
        <v>0</v>
      </c>
    </row>
    <row r="443" spans="1:105" ht="20" customHeight="1" x14ac:dyDescent="0.35">
      <c r="A443" s="290"/>
      <c r="B443" s="306" t="s">
        <v>1641</v>
      </c>
      <c r="C443" s="270" t="s">
        <v>236</v>
      </c>
      <c r="D443" s="270" t="s">
        <v>632</v>
      </c>
      <c r="E443" s="270" t="s">
        <v>378</v>
      </c>
      <c r="F443" s="270" t="s">
        <v>62</v>
      </c>
      <c r="G443" s="270" t="s">
        <v>39</v>
      </c>
      <c r="H443" s="298">
        <v>2</v>
      </c>
      <c r="I443" s="292"/>
      <c r="J443" s="286"/>
      <c r="K443" s="300"/>
      <c r="L443" s="286"/>
      <c r="M443" s="286"/>
      <c r="N443" s="292"/>
      <c r="O443" s="286"/>
      <c r="P443" s="292"/>
      <c r="Q443" s="286"/>
      <c r="R443" s="286"/>
      <c r="S443" s="286"/>
      <c r="T443" s="286"/>
      <c r="U443" s="286"/>
      <c r="V443" s="294"/>
      <c r="W443" s="286"/>
      <c r="X443" s="286"/>
      <c r="Y443" s="286"/>
      <c r="Z443" s="286"/>
      <c r="AA443" s="286"/>
      <c r="AB443" s="286"/>
      <c r="AC443" s="286"/>
      <c r="AD443" s="286"/>
      <c r="AE443" s="286"/>
      <c r="AF443" s="286"/>
      <c r="AG443" s="286"/>
      <c r="AH443" s="286"/>
      <c r="AI443" s="286"/>
      <c r="AJ443" s="286"/>
      <c r="AK443" s="287"/>
      <c r="AL443" s="288"/>
      <c r="AM443" s="287"/>
      <c r="AN443" s="287"/>
      <c r="AO443" s="287"/>
      <c r="AP443" s="286"/>
      <c r="AQ443" s="296"/>
      <c r="AR443" s="286"/>
      <c r="AS443" s="286"/>
      <c r="AT443" s="286"/>
      <c r="AU443" s="286"/>
      <c r="AV443" s="286"/>
      <c r="AW443" s="286"/>
      <c r="AX443" s="286"/>
      <c r="AY443" s="286"/>
      <c r="AZ443" s="286"/>
      <c r="BA443" s="286"/>
      <c r="BB443" s="286"/>
      <c r="BC443" s="286"/>
      <c r="BD443" s="287"/>
      <c r="BE443" s="287"/>
      <c r="BF443" s="287"/>
      <c r="BG443" s="287"/>
      <c r="BH443" s="287"/>
      <c r="BI443" s="287"/>
      <c r="BJ443" s="287"/>
      <c r="BK443" s="287"/>
      <c r="BL443" s="287"/>
      <c r="BM443" s="287"/>
      <c r="BN443" s="287"/>
      <c r="BO443" s="287"/>
      <c r="BP443" s="287"/>
      <c r="BQ443" s="287"/>
      <c r="BR443" s="287"/>
      <c r="BS443" s="287"/>
      <c r="BT443" s="287"/>
      <c r="BU443" s="287"/>
      <c r="BV443" s="287"/>
      <c r="BW443" s="287"/>
      <c r="BX443" s="286"/>
      <c r="BY443" s="289"/>
      <c r="BZ443" s="289"/>
      <c r="CA443" s="289"/>
      <c r="CB443" s="289"/>
      <c r="CC443" s="289"/>
      <c r="CD443" s="289"/>
      <c r="CE443" s="289"/>
      <c r="CF443" s="289"/>
      <c r="CG443" s="287"/>
      <c r="CH443" s="287"/>
      <c r="CI443" s="287"/>
      <c r="CJ443" s="287"/>
      <c r="CK443" s="287"/>
      <c r="CL443" s="287"/>
      <c r="CM443" s="287"/>
      <c r="CN443" s="287"/>
      <c r="CO443" s="287"/>
      <c r="CP443" s="287"/>
      <c r="CQ443" s="287"/>
      <c r="CR443" s="287"/>
      <c r="CS443" s="327"/>
      <c r="CT443" s="6"/>
      <c r="CU443" s="6"/>
      <c r="CV443" s="6"/>
      <c r="CW443" s="6"/>
      <c r="CX443" s="6"/>
      <c r="CY443" s="6"/>
      <c r="CZ443" s="6"/>
      <c r="DA443" s="343">
        <f t="shared" si="17"/>
        <v>2</v>
      </c>
    </row>
    <row r="444" spans="1:105" ht="20" customHeight="1" x14ac:dyDescent="0.35">
      <c r="A444" s="290"/>
      <c r="B444" s="270" t="s">
        <v>988</v>
      </c>
      <c r="C444" s="270" t="s">
        <v>237</v>
      </c>
      <c r="D444" s="297" t="s">
        <v>632</v>
      </c>
      <c r="E444" s="270" t="s">
        <v>378</v>
      </c>
      <c r="F444" s="270" t="s">
        <v>1830</v>
      </c>
      <c r="G444" s="270" t="s">
        <v>39</v>
      </c>
      <c r="H444" s="298">
        <f>H445*6</f>
        <v>75</v>
      </c>
      <c r="I444" s="292"/>
      <c r="J444" s="286"/>
      <c r="K444" s="300"/>
      <c r="L444" s="286"/>
      <c r="M444" s="286"/>
      <c r="N444" s="286"/>
      <c r="O444" s="286"/>
      <c r="P444" s="286"/>
      <c r="Q444" s="286"/>
      <c r="R444" s="286"/>
      <c r="S444" s="286"/>
      <c r="T444" s="286"/>
      <c r="U444" s="286"/>
      <c r="V444" s="294"/>
      <c r="W444" s="286"/>
      <c r="X444" s="286"/>
      <c r="Y444" s="286"/>
      <c r="Z444" s="286"/>
      <c r="AA444" s="286"/>
      <c r="AB444" s="286"/>
      <c r="AC444" s="286"/>
      <c r="AD444" s="286"/>
      <c r="AE444" s="286"/>
      <c r="AF444" s="286"/>
      <c r="AG444" s="286"/>
      <c r="AH444" s="286"/>
      <c r="AI444" s="286"/>
      <c r="AJ444" s="286"/>
      <c r="AK444" s="287"/>
      <c r="AL444" s="288"/>
      <c r="AM444" s="287"/>
      <c r="AN444" s="287"/>
      <c r="AO444" s="287"/>
      <c r="AP444" s="286"/>
      <c r="AQ444" s="296"/>
      <c r="AR444" s="286"/>
      <c r="AS444" s="286"/>
      <c r="AT444" s="286"/>
      <c r="AU444" s="286"/>
      <c r="AV444" s="286"/>
      <c r="AW444" s="286"/>
      <c r="AX444" s="286"/>
      <c r="AY444" s="286"/>
      <c r="AZ444" s="286"/>
      <c r="BA444" s="286"/>
      <c r="BB444" s="286"/>
      <c r="BC444" s="286"/>
      <c r="BD444" s="287"/>
      <c r="BE444" s="287"/>
      <c r="BF444" s="287"/>
      <c r="BG444" s="287"/>
      <c r="BH444" s="287"/>
      <c r="BI444" s="287"/>
      <c r="BJ444" s="287"/>
      <c r="BK444" s="287"/>
      <c r="BL444" s="287"/>
      <c r="BM444" s="287"/>
      <c r="BN444" s="287"/>
      <c r="BO444" s="287"/>
      <c r="BP444" s="287"/>
      <c r="BQ444" s="287"/>
      <c r="BR444" s="287"/>
      <c r="BS444" s="287"/>
      <c r="BT444" s="287"/>
      <c r="BU444" s="287"/>
      <c r="BV444" s="287"/>
      <c r="BW444" s="287"/>
      <c r="BX444" s="286"/>
      <c r="BY444" s="289"/>
      <c r="BZ444" s="289"/>
      <c r="CA444" s="289"/>
      <c r="CB444" s="289"/>
      <c r="CC444" s="289"/>
      <c r="CD444" s="289"/>
      <c r="CE444" s="289"/>
      <c r="CF444" s="289"/>
      <c r="CG444" s="287"/>
      <c r="CH444" s="287"/>
      <c r="CI444" s="287"/>
      <c r="CJ444" s="287"/>
      <c r="CK444" s="287"/>
      <c r="CL444" s="287"/>
      <c r="CM444" s="287"/>
      <c r="CN444" s="287"/>
      <c r="CO444" s="287"/>
      <c r="CP444" s="287"/>
      <c r="CQ444" s="287"/>
      <c r="CR444" s="287"/>
      <c r="CS444" s="6"/>
      <c r="CT444" s="6"/>
      <c r="CU444" s="6"/>
      <c r="CV444" s="6"/>
      <c r="CW444" s="6"/>
      <c r="CX444" s="6"/>
      <c r="CY444" s="6"/>
      <c r="CZ444" s="6"/>
      <c r="DA444" s="343">
        <f t="shared" si="17"/>
        <v>75</v>
      </c>
    </row>
    <row r="445" spans="1:105" ht="20" customHeight="1" x14ac:dyDescent="0.35">
      <c r="A445" s="290">
        <v>520749</v>
      </c>
      <c r="B445" s="270" t="s">
        <v>989</v>
      </c>
      <c r="C445" s="270" t="s">
        <v>237</v>
      </c>
      <c r="D445" s="297" t="s">
        <v>632</v>
      </c>
      <c r="E445" s="270" t="s">
        <v>378</v>
      </c>
      <c r="F445" s="270" t="s">
        <v>1829</v>
      </c>
      <c r="G445" s="270" t="s">
        <v>39</v>
      </c>
      <c r="H445" s="298">
        <v>12.5</v>
      </c>
      <c r="I445" s="292">
        <v>15.5</v>
      </c>
      <c r="J445" s="292">
        <v>16.5</v>
      </c>
      <c r="K445" s="300">
        <v>13</v>
      </c>
      <c r="L445" s="286">
        <v>13</v>
      </c>
      <c r="M445" s="286"/>
      <c r="N445" s="286">
        <v>16.5</v>
      </c>
      <c r="O445" s="286">
        <v>16.5</v>
      </c>
      <c r="P445" s="292">
        <v>16.5</v>
      </c>
      <c r="Q445" s="286">
        <v>18</v>
      </c>
      <c r="R445" s="286">
        <v>17</v>
      </c>
      <c r="S445" s="286">
        <v>18</v>
      </c>
      <c r="T445" s="286">
        <v>16.5</v>
      </c>
      <c r="U445" s="286"/>
      <c r="V445" s="294"/>
      <c r="W445" s="286"/>
      <c r="X445" s="286"/>
      <c r="Y445" s="286"/>
      <c r="Z445" s="286"/>
      <c r="AA445" s="286"/>
      <c r="AB445" s="286"/>
      <c r="AC445" s="286">
        <v>17.5</v>
      </c>
      <c r="AD445" s="286"/>
      <c r="AE445" s="286"/>
      <c r="AF445" s="286"/>
      <c r="AG445" s="286">
        <v>17</v>
      </c>
      <c r="AH445" s="286"/>
      <c r="AI445" s="286"/>
      <c r="AJ445" s="286"/>
      <c r="AK445" s="295">
        <v>16</v>
      </c>
      <c r="AL445" s="288"/>
      <c r="AM445" s="287"/>
      <c r="AN445" s="287"/>
      <c r="AO445" s="287"/>
      <c r="AP445" s="286">
        <v>16.5</v>
      </c>
      <c r="AQ445" s="296">
        <v>17</v>
      </c>
      <c r="AR445" s="286">
        <v>16.5</v>
      </c>
      <c r="AS445" s="286"/>
      <c r="AT445" s="286">
        <v>16.5</v>
      </c>
      <c r="AU445" s="286">
        <v>16.5</v>
      </c>
      <c r="AV445" s="286">
        <v>16.5</v>
      </c>
      <c r="AW445" s="286">
        <v>16.5</v>
      </c>
      <c r="AX445" s="286">
        <v>16.5</v>
      </c>
      <c r="AY445" s="286">
        <v>16.5</v>
      </c>
      <c r="AZ445" s="286">
        <v>16.5</v>
      </c>
      <c r="BA445" s="286">
        <v>16.5</v>
      </c>
      <c r="BB445" s="286">
        <f>BA445</f>
        <v>16.5</v>
      </c>
      <c r="BC445" s="286">
        <v>16.5</v>
      </c>
      <c r="BD445" s="287"/>
      <c r="BE445" s="287"/>
      <c r="BF445" s="287"/>
      <c r="BG445" s="288">
        <v>17</v>
      </c>
      <c r="BH445" s="287"/>
      <c r="BI445" s="287"/>
      <c r="BJ445" s="287"/>
      <c r="BK445" s="287"/>
      <c r="BL445" s="287"/>
      <c r="BM445" s="287"/>
      <c r="BN445" s="287"/>
      <c r="BO445" s="287"/>
      <c r="BP445" s="287"/>
      <c r="BQ445" s="287"/>
      <c r="BR445" s="287"/>
      <c r="BS445" s="287"/>
      <c r="BT445" s="287"/>
      <c r="BU445" s="287"/>
      <c r="BV445" s="287"/>
      <c r="BW445" s="287"/>
      <c r="BX445" s="286">
        <v>16.5</v>
      </c>
      <c r="BY445" s="289"/>
      <c r="BZ445" s="289">
        <v>16.5</v>
      </c>
      <c r="CA445" s="289"/>
      <c r="CB445" s="289"/>
      <c r="CC445" s="289"/>
      <c r="CD445" s="289"/>
      <c r="CE445" s="289"/>
      <c r="CF445" s="289"/>
      <c r="CG445" s="287"/>
      <c r="CH445" s="287"/>
      <c r="CI445" s="287"/>
      <c r="CJ445" s="287"/>
      <c r="CK445" s="287"/>
      <c r="CL445" s="287"/>
      <c r="CM445" s="287"/>
      <c r="CN445" s="287"/>
      <c r="CO445" s="287"/>
      <c r="CP445" s="287"/>
      <c r="CQ445" s="287"/>
      <c r="CR445" s="292">
        <v>16.5</v>
      </c>
      <c r="CS445" s="326">
        <v>15</v>
      </c>
      <c r="CT445" s="6"/>
      <c r="CU445" s="6"/>
      <c r="CV445" s="6"/>
      <c r="CW445" s="6"/>
      <c r="CX445" s="6"/>
      <c r="CY445" s="6"/>
      <c r="CZ445" s="6"/>
      <c r="DA445" s="343">
        <f t="shared" si="17"/>
        <v>12.5</v>
      </c>
    </row>
    <row r="446" spans="1:105" ht="20" customHeight="1" x14ac:dyDescent="0.35">
      <c r="A446" s="290"/>
      <c r="B446" s="270"/>
      <c r="C446" s="270"/>
      <c r="D446" s="270"/>
      <c r="E446" s="270"/>
      <c r="F446" s="270"/>
      <c r="G446" s="270"/>
      <c r="H446" s="298"/>
      <c r="I446" s="286"/>
      <c r="J446" s="286"/>
      <c r="K446" s="286"/>
      <c r="L446" s="286"/>
      <c r="M446" s="286"/>
      <c r="N446" s="286"/>
      <c r="O446" s="286"/>
      <c r="P446" s="286"/>
      <c r="Q446" s="286"/>
      <c r="R446" s="286"/>
      <c r="S446" s="286"/>
      <c r="T446" s="286"/>
      <c r="U446" s="286"/>
      <c r="V446" s="294"/>
      <c r="W446" s="286"/>
      <c r="X446" s="286"/>
      <c r="Y446" s="286"/>
      <c r="Z446" s="286"/>
      <c r="AA446" s="286"/>
      <c r="AB446" s="286"/>
      <c r="AC446" s="286"/>
      <c r="AD446" s="286"/>
      <c r="AE446" s="286"/>
      <c r="AF446" s="286"/>
      <c r="AG446" s="286"/>
      <c r="AH446" s="286"/>
      <c r="AI446" s="286"/>
      <c r="AJ446" s="286"/>
      <c r="AK446" s="287"/>
      <c r="AL446" s="288"/>
      <c r="AM446" s="287"/>
      <c r="AN446" s="287"/>
      <c r="AO446" s="287"/>
      <c r="AP446" s="286"/>
      <c r="AQ446" s="296"/>
      <c r="AR446" s="286"/>
      <c r="AS446" s="286"/>
      <c r="AT446" s="286"/>
      <c r="AU446" s="286"/>
      <c r="AV446" s="286"/>
      <c r="AW446" s="286"/>
      <c r="AX446" s="286"/>
      <c r="AY446" s="286"/>
      <c r="AZ446" s="286"/>
      <c r="BA446" s="286"/>
      <c r="BB446" s="286"/>
      <c r="BC446" s="286"/>
      <c r="BD446" s="287"/>
      <c r="BE446" s="287"/>
      <c r="BF446" s="287"/>
      <c r="BG446" s="287"/>
      <c r="BH446" s="287"/>
      <c r="BI446" s="287"/>
      <c r="BJ446" s="287"/>
      <c r="BK446" s="287"/>
      <c r="BL446" s="287"/>
      <c r="BM446" s="287"/>
      <c r="BN446" s="287"/>
      <c r="BO446" s="287"/>
      <c r="BP446" s="287"/>
      <c r="BQ446" s="287"/>
      <c r="BR446" s="287"/>
      <c r="BS446" s="287"/>
      <c r="BT446" s="287"/>
      <c r="BU446" s="287"/>
      <c r="BV446" s="287"/>
      <c r="BW446" s="287"/>
      <c r="BX446" s="286"/>
      <c r="BY446" s="289"/>
      <c r="BZ446" s="289"/>
      <c r="CA446" s="289"/>
      <c r="CB446" s="289"/>
      <c r="CC446" s="289"/>
      <c r="CD446" s="289"/>
      <c r="CE446" s="289"/>
      <c r="CF446" s="289"/>
      <c r="CG446" s="287"/>
      <c r="CH446" s="287"/>
      <c r="CI446" s="287"/>
      <c r="CJ446" s="287"/>
      <c r="CK446" s="287"/>
      <c r="CL446" s="287"/>
      <c r="CM446" s="287"/>
      <c r="CN446" s="287"/>
      <c r="CO446" s="287"/>
      <c r="CP446" s="287"/>
      <c r="CQ446" s="287"/>
      <c r="CR446" s="287"/>
      <c r="CS446" s="6"/>
      <c r="CT446" s="6"/>
      <c r="CU446" s="6"/>
      <c r="CV446" s="6"/>
      <c r="CW446" s="6"/>
      <c r="CX446" s="6"/>
      <c r="CY446" s="6"/>
      <c r="CZ446" s="6"/>
      <c r="DA446" s="343">
        <f t="shared" si="17"/>
        <v>0</v>
      </c>
    </row>
    <row r="447" spans="1:105" ht="20" customHeight="1" x14ac:dyDescent="0.35">
      <c r="A447" s="290"/>
      <c r="B447" s="270" t="s">
        <v>1292</v>
      </c>
      <c r="C447" s="270" t="s">
        <v>237</v>
      </c>
      <c r="D447" s="270" t="s">
        <v>632</v>
      </c>
      <c r="E447" s="270" t="s">
        <v>378</v>
      </c>
      <c r="F447" s="270" t="s">
        <v>614</v>
      </c>
      <c r="G447" s="270" t="s">
        <v>39</v>
      </c>
      <c r="H447" s="298">
        <f>H445/2</f>
        <v>6.25</v>
      </c>
      <c r="I447" s="286"/>
      <c r="J447" s="286"/>
      <c r="K447" s="286"/>
      <c r="L447" s="286"/>
      <c r="M447" s="286"/>
      <c r="N447" s="286">
        <v>8.5</v>
      </c>
      <c r="O447" s="286"/>
      <c r="P447" s="286"/>
      <c r="Q447" s="286"/>
      <c r="R447" s="286"/>
      <c r="S447" s="286"/>
      <c r="T447" s="286"/>
      <c r="U447" s="286"/>
      <c r="V447" s="294"/>
      <c r="W447" s="286"/>
      <c r="X447" s="286"/>
      <c r="Y447" s="286"/>
      <c r="Z447" s="286"/>
      <c r="AA447" s="286"/>
      <c r="AB447" s="286"/>
      <c r="AC447" s="286"/>
      <c r="AD447" s="286"/>
      <c r="AE447" s="286"/>
      <c r="AF447" s="286"/>
      <c r="AG447" s="286"/>
      <c r="AH447" s="286"/>
      <c r="AI447" s="286"/>
      <c r="AJ447" s="286"/>
      <c r="AK447" s="287"/>
      <c r="AL447" s="288"/>
      <c r="AM447" s="287"/>
      <c r="AN447" s="287"/>
      <c r="AO447" s="287"/>
      <c r="AP447" s="286"/>
      <c r="AQ447" s="296"/>
      <c r="AR447" s="286"/>
      <c r="AS447" s="286"/>
      <c r="AT447" s="286"/>
      <c r="AU447" s="286"/>
      <c r="AV447" s="286"/>
      <c r="AW447" s="286"/>
      <c r="AX447" s="286"/>
      <c r="AY447" s="286"/>
      <c r="AZ447" s="286"/>
      <c r="BA447" s="286"/>
      <c r="BB447" s="286"/>
      <c r="BC447" s="286"/>
      <c r="BD447" s="287"/>
      <c r="BE447" s="287"/>
      <c r="BF447" s="287"/>
      <c r="BG447" s="287"/>
      <c r="BH447" s="287"/>
      <c r="BI447" s="287"/>
      <c r="BJ447" s="287"/>
      <c r="BK447" s="287"/>
      <c r="BL447" s="287"/>
      <c r="BM447" s="287"/>
      <c r="BN447" s="287"/>
      <c r="BO447" s="287"/>
      <c r="BP447" s="287"/>
      <c r="BQ447" s="287"/>
      <c r="BR447" s="287"/>
      <c r="BS447" s="287"/>
      <c r="BT447" s="287"/>
      <c r="BU447" s="287"/>
      <c r="BV447" s="287"/>
      <c r="BW447" s="287"/>
      <c r="BX447" s="286"/>
      <c r="BY447" s="289"/>
      <c r="BZ447" s="289"/>
      <c r="CA447" s="289"/>
      <c r="CB447" s="289"/>
      <c r="CC447" s="289"/>
      <c r="CD447" s="289"/>
      <c r="CE447" s="289"/>
      <c r="CF447" s="289"/>
      <c r="CG447" s="287"/>
      <c r="CH447" s="287"/>
      <c r="CI447" s="287"/>
      <c r="CJ447" s="287"/>
      <c r="CK447" s="287"/>
      <c r="CL447" s="287"/>
      <c r="CM447" s="287"/>
      <c r="CN447" s="287"/>
      <c r="CO447" s="287"/>
      <c r="CP447" s="287"/>
      <c r="CQ447" s="287"/>
      <c r="CR447" s="287"/>
      <c r="CS447" s="6"/>
      <c r="CT447" s="6"/>
      <c r="CU447" s="6"/>
      <c r="CV447" s="6"/>
      <c r="CW447" s="6"/>
      <c r="CX447" s="6"/>
      <c r="CY447" s="6"/>
      <c r="CZ447" s="6"/>
      <c r="DA447" s="343">
        <f t="shared" si="17"/>
        <v>6.25</v>
      </c>
    </row>
    <row r="448" spans="1:105" ht="20" customHeight="1" x14ac:dyDescent="0.35">
      <c r="A448" s="290">
        <v>523493</v>
      </c>
      <c r="B448" s="270" t="s">
        <v>990</v>
      </c>
      <c r="C448" s="270" t="s">
        <v>238</v>
      </c>
      <c r="D448" s="270" t="s">
        <v>632</v>
      </c>
      <c r="E448" s="270" t="s">
        <v>1647</v>
      </c>
      <c r="F448" s="270" t="s">
        <v>422</v>
      </c>
      <c r="G448" s="270" t="s">
        <v>522</v>
      </c>
      <c r="H448" s="345">
        <v>24.5</v>
      </c>
      <c r="I448" s="286">
        <v>29.5</v>
      </c>
      <c r="J448" s="286"/>
      <c r="K448" s="286"/>
      <c r="L448" s="286"/>
      <c r="M448" s="286"/>
      <c r="N448" s="292">
        <v>31.5</v>
      </c>
      <c r="O448" s="286">
        <v>31.5</v>
      </c>
      <c r="P448" s="300">
        <v>31.5</v>
      </c>
      <c r="Q448" s="286"/>
      <c r="R448" s="300">
        <v>31.5</v>
      </c>
      <c r="S448" s="286"/>
      <c r="T448" s="286"/>
      <c r="U448" s="286"/>
      <c r="V448" s="294"/>
      <c r="W448" s="286"/>
      <c r="X448" s="286"/>
      <c r="Y448" s="286"/>
      <c r="Z448" s="300">
        <v>31.5</v>
      </c>
      <c r="AA448" s="286"/>
      <c r="AB448" s="286"/>
      <c r="AC448" s="300">
        <v>31.5</v>
      </c>
      <c r="AD448" s="286"/>
      <c r="AE448" s="286">
        <v>31.5</v>
      </c>
      <c r="AF448" s="300"/>
      <c r="AG448" s="286"/>
      <c r="AH448" s="286"/>
      <c r="AI448" s="286"/>
      <c r="AJ448" s="286"/>
      <c r="AK448" s="295">
        <v>31.5</v>
      </c>
      <c r="AL448" s="288"/>
      <c r="AM448" s="287">
        <v>31.5</v>
      </c>
      <c r="AN448" s="287"/>
      <c r="AO448" s="287"/>
      <c r="AP448" s="286"/>
      <c r="AQ448" s="296">
        <v>31.5</v>
      </c>
      <c r="AR448" s="286"/>
      <c r="AS448" s="286"/>
      <c r="AT448" s="286"/>
      <c r="AU448" s="286"/>
      <c r="AV448" s="286"/>
      <c r="AW448" s="286"/>
      <c r="AX448" s="286"/>
      <c r="AY448" s="286"/>
      <c r="AZ448" s="286"/>
      <c r="BA448" s="286"/>
      <c r="BB448" s="286"/>
      <c r="BC448" s="286"/>
      <c r="BD448" s="287"/>
      <c r="BE448" s="287"/>
      <c r="BF448" s="287"/>
      <c r="BG448" s="288">
        <v>33</v>
      </c>
      <c r="BH448" s="287"/>
      <c r="BI448" s="287"/>
      <c r="BJ448" s="287"/>
      <c r="BK448" s="287"/>
      <c r="BL448" s="287"/>
      <c r="BM448" s="287"/>
      <c r="BN448" s="287"/>
      <c r="BO448" s="287"/>
      <c r="BP448" s="287"/>
      <c r="BQ448" s="287"/>
      <c r="BR448" s="287"/>
      <c r="BS448" s="287"/>
      <c r="BT448" s="287"/>
      <c r="BU448" s="287">
        <v>32</v>
      </c>
      <c r="BV448" s="287"/>
      <c r="BW448" s="287"/>
      <c r="BX448" s="286"/>
      <c r="BY448" s="289"/>
      <c r="BZ448" s="289">
        <v>32</v>
      </c>
      <c r="CA448" s="289"/>
      <c r="CB448" s="289"/>
      <c r="CC448" s="289"/>
      <c r="CD448" s="289"/>
      <c r="CE448" s="289"/>
      <c r="CF448" s="289"/>
      <c r="CG448" s="287"/>
      <c r="CH448" s="287"/>
      <c r="CI448" s="287"/>
      <c r="CJ448" s="287"/>
      <c r="CK448" s="287"/>
      <c r="CL448" s="287"/>
      <c r="CM448" s="287"/>
      <c r="CN448" s="287"/>
      <c r="CO448" s="287"/>
      <c r="CP448" s="287"/>
      <c r="CQ448" s="287"/>
      <c r="CR448" s="287"/>
      <c r="CS448" s="6"/>
      <c r="CT448" s="6"/>
      <c r="CU448" s="6"/>
      <c r="CV448" s="6"/>
      <c r="CW448" s="6"/>
      <c r="CX448" s="6"/>
      <c r="CY448" s="6"/>
      <c r="CZ448" s="6"/>
      <c r="DA448" s="343">
        <f t="shared" si="17"/>
        <v>24.5</v>
      </c>
    </row>
    <row r="449" spans="1:105" ht="20" customHeight="1" x14ac:dyDescent="0.35">
      <c r="A449" s="290" t="s">
        <v>2111</v>
      </c>
      <c r="B449" s="270" t="s">
        <v>1687</v>
      </c>
      <c r="C449" s="270" t="s">
        <v>238</v>
      </c>
      <c r="D449" s="297" t="s">
        <v>632</v>
      </c>
      <c r="E449" s="270" t="s">
        <v>1647</v>
      </c>
      <c r="F449" s="270" t="s">
        <v>613</v>
      </c>
      <c r="G449" s="270" t="s">
        <v>39</v>
      </c>
      <c r="H449" s="298">
        <f>H448/25*5</f>
        <v>4.9000000000000004</v>
      </c>
      <c r="I449" s="292">
        <v>6.8</v>
      </c>
      <c r="J449" s="286"/>
      <c r="K449" s="286"/>
      <c r="L449" s="286">
        <v>8</v>
      </c>
      <c r="M449" s="286"/>
      <c r="N449" s="286"/>
      <c r="O449" s="286"/>
      <c r="P449" s="286"/>
      <c r="Q449" s="286"/>
      <c r="R449" s="286"/>
      <c r="S449" s="286"/>
      <c r="T449" s="286"/>
      <c r="U449" s="286"/>
      <c r="V449" s="294"/>
      <c r="W449" s="286"/>
      <c r="X449" s="286"/>
      <c r="Y449" s="286"/>
      <c r="Z449" s="286"/>
      <c r="AA449" s="286"/>
      <c r="AB449" s="289">
        <v>6.8</v>
      </c>
      <c r="AC449" s="286"/>
      <c r="AD449" s="289"/>
      <c r="AE449" s="286"/>
      <c r="AF449" s="286"/>
      <c r="AG449" s="286"/>
      <c r="AH449" s="286"/>
      <c r="AI449" s="286"/>
      <c r="AJ449" s="286"/>
      <c r="AK449" s="295">
        <v>6.5</v>
      </c>
      <c r="AL449" s="288"/>
      <c r="AM449" s="287"/>
      <c r="AN449" s="287"/>
      <c r="AO449" s="287"/>
      <c r="AP449" s="286"/>
      <c r="AQ449" s="296"/>
      <c r="AR449" s="286"/>
      <c r="AS449" s="286"/>
      <c r="AT449" s="286"/>
      <c r="AU449" s="286"/>
      <c r="AV449" s="286"/>
      <c r="AW449" s="286"/>
      <c r="AX449" s="286"/>
      <c r="AY449" s="286"/>
      <c r="AZ449" s="286"/>
      <c r="BA449" s="286"/>
      <c r="BB449" s="286"/>
      <c r="BC449" s="286"/>
      <c r="BD449" s="287"/>
      <c r="BE449" s="287"/>
      <c r="BF449" s="287"/>
      <c r="BG449" s="288">
        <v>6.8</v>
      </c>
      <c r="BH449" s="287"/>
      <c r="BI449" s="287"/>
      <c r="BJ449" s="287"/>
      <c r="BK449" s="287"/>
      <c r="BL449" s="287"/>
      <c r="BM449" s="287"/>
      <c r="BN449" s="287"/>
      <c r="BO449" s="287"/>
      <c r="BP449" s="287"/>
      <c r="BQ449" s="287"/>
      <c r="BR449" s="287"/>
      <c r="BS449" s="287"/>
      <c r="BT449" s="287"/>
      <c r="BU449" s="287"/>
      <c r="BV449" s="287"/>
      <c r="BW449" s="287"/>
      <c r="BX449" s="286"/>
      <c r="BY449" s="289">
        <v>7.5</v>
      </c>
      <c r="BZ449" s="289"/>
      <c r="CA449" s="289"/>
      <c r="CB449" s="289"/>
      <c r="CC449" s="289"/>
      <c r="CD449" s="289"/>
      <c r="CE449" s="289"/>
      <c r="CF449" s="289"/>
      <c r="CG449" s="287"/>
      <c r="CH449" s="287"/>
      <c r="CI449" s="287"/>
      <c r="CJ449" s="287"/>
      <c r="CK449" s="287"/>
      <c r="CL449" s="287"/>
      <c r="CM449" s="287"/>
      <c r="CN449" s="287"/>
      <c r="CO449" s="287"/>
      <c r="CP449" s="287"/>
      <c r="CQ449" s="287"/>
      <c r="CR449" s="287"/>
      <c r="CS449" s="287"/>
      <c r="CT449" s="6"/>
      <c r="CU449" s="6"/>
      <c r="CV449" s="6"/>
      <c r="CW449" s="6"/>
      <c r="CX449" s="6"/>
      <c r="CY449" s="6"/>
      <c r="CZ449" s="6"/>
      <c r="DA449" s="343">
        <f t="shared" si="17"/>
        <v>4.9000000000000004</v>
      </c>
    </row>
    <row r="450" spans="1:105" ht="20" customHeight="1" x14ac:dyDescent="0.35">
      <c r="A450" s="290"/>
      <c r="B450" s="270" t="s">
        <v>1688</v>
      </c>
      <c r="C450" s="270" t="s">
        <v>238</v>
      </c>
      <c r="D450" s="270"/>
      <c r="E450" s="270" t="s">
        <v>34</v>
      </c>
      <c r="F450" s="270" t="s">
        <v>1048</v>
      </c>
      <c r="G450" s="270" t="s">
        <v>39</v>
      </c>
      <c r="H450" s="298">
        <f>H448/25*2</f>
        <v>1.96</v>
      </c>
      <c r="I450" s="286"/>
      <c r="J450" s="286"/>
      <c r="K450" s="286"/>
      <c r="L450" s="286"/>
      <c r="M450" s="286"/>
      <c r="N450" s="286"/>
      <c r="O450" s="286"/>
      <c r="P450" s="286"/>
      <c r="Q450" s="286"/>
      <c r="R450" s="286"/>
      <c r="S450" s="286"/>
      <c r="T450" s="286"/>
      <c r="U450" s="286"/>
      <c r="V450" s="294"/>
      <c r="W450" s="286"/>
      <c r="X450" s="286"/>
      <c r="Y450" s="286"/>
      <c r="Z450" s="286"/>
      <c r="AA450" s="286"/>
      <c r="AB450" s="286"/>
      <c r="AC450" s="286"/>
      <c r="AD450" s="286"/>
      <c r="AE450" s="286"/>
      <c r="AF450" s="286"/>
      <c r="AG450" s="286"/>
      <c r="AH450" s="286"/>
      <c r="AI450" s="286"/>
      <c r="AJ450" s="286"/>
      <c r="AK450" s="287"/>
      <c r="AL450" s="288"/>
      <c r="AM450" s="287"/>
      <c r="AN450" s="287"/>
      <c r="AO450" s="287"/>
      <c r="AP450" s="286"/>
      <c r="AQ450" s="296"/>
      <c r="AR450" s="286"/>
      <c r="AS450" s="286"/>
      <c r="AT450" s="286"/>
      <c r="AU450" s="286"/>
      <c r="AV450" s="286"/>
      <c r="AW450" s="286"/>
      <c r="AX450" s="286"/>
      <c r="AY450" s="286"/>
      <c r="AZ450" s="286"/>
      <c r="BA450" s="286"/>
      <c r="BB450" s="286"/>
      <c r="BC450" s="286"/>
      <c r="BD450" s="287"/>
      <c r="BE450" s="287"/>
      <c r="BF450" s="287"/>
      <c r="BG450" s="288">
        <v>2.8</v>
      </c>
      <c r="BH450" s="287"/>
      <c r="BI450" s="287"/>
      <c r="BJ450" s="287"/>
      <c r="BK450" s="287"/>
      <c r="BL450" s="287"/>
      <c r="BM450" s="287"/>
      <c r="BN450" s="287"/>
      <c r="BO450" s="287"/>
      <c r="BP450" s="287"/>
      <c r="BQ450" s="287"/>
      <c r="BR450" s="287"/>
      <c r="BS450" s="287"/>
      <c r="BT450" s="287"/>
      <c r="BU450" s="287"/>
      <c r="BV450" s="287"/>
      <c r="BW450" s="287"/>
      <c r="BX450" s="286"/>
      <c r="BY450" s="289">
        <v>2.2000000000000002</v>
      </c>
      <c r="BZ450" s="289"/>
      <c r="CA450" s="289"/>
      <c r="CB450" s="289">
        <v>2.2000000000000002</v>
      </c>
      <c r="CC450" s="289"/>
      <c r="CD450" s="289"/>
      <c r="CE450" s="289"/>
      <c r="CF450" s="289"/>
      <c r="CG450" s="287"/>
      <c r="CH450" s="287"/>
      <c r="CI450" s="287"/>
      <c r="CJ450" s="287"/>
      <c r="CK450" s="287"/>
      <c r="CL450" s="287"/>
      <c r="CM450" s="287"/>
      <c r="CN450" s="287"/>
      <c r="CO450" s="287"/>
      <c r="CP450" s="287"/>
      <c r="CQ450" s="287"/>
      <c r="CR450" s="287"/>
      <c r="CS450" s="6"/>
      <c r="CT450" s="6"/>
      <c r="CU450" s="6"/>
      <c r="CV450" s="6"/>
      <c r="CW450" s="6"/>
      <c r="CX450" s="6"/>
      <c r="CY450" s="6"/>
      <c r="CZ450" s="6"/>
      <c r="DA450" s="343">
        <f t="shared" si="17"/>
        <v>1.96</v>
      </c>
    </row>
    <row r="451" spans="1:105" ht="20" customHeight="1" x14ac:dyDescent="0.35">
      <c r="A451" s="290"/>
      <c r="B451" s="270" t="s">
        <v>1689</v>
      </c>
      <c r="C451" s="270" t="s">
        <v>238</v>
      </c>
      <c r="D451" s="270"/>
      <c r="E451" s="270" t="s">
        <v>34</v>
      </c>
      <c r="F451" s="270" t="s">
        <v>62</v>
      </c>
      <c r="G451" s="270"/>
      <c r="H451" s="298">
        <f>H448/25</f>
        <v>0.98</v>
      </c>
      <c r="I451" s="286"/>
      <c r="J451" s="286"/>
      <c r="K451" s="286"/>
      <c r="L451" s="286"/>
      <c r="M451" s="286"/>
      <c r="N451" s="286"/>
      <c r="O451" s="286"/>
      <c r="P451" s="286"/>
      <c r="Q451" s="286"/>
      <c r="R451" s="286"/>
      <c r="S451" s="286"/>
      <c r="T451" s="286"/>
      <c r="U451" s="286"/>
      <c r="V451" s="294"/>
      <c r="W451" s="286"/>
      <c r="X451" s="286"/>
      <c r="Y451" s="286"/>
      <c r="Z451" s="286"/>
      <c r="AA451" s="286"/>
      <c r="AB451" s="286"/>
      <c r="AC451" s="286"/>
      <c r="AD451" s="286"/>
      <c r="AE451" s="286"/>
      <c r="AF451" s="286"/>
      <c r="AG451" s="286"/>
      <c r="AH451" s="286"/>
      <c r="AI451" s="286"/>
      <c r="AJ451" s="286"/>
      <c r="AK451" s="287"/>
      <c r="AL451" s="288"/>
      <c r="AM451" s="287"/>
      <c r="AN451" s="287"/>
      <c r="AO451" s="287"/>
      <c r="AP451" s="286"/>
      <c r="AQ451" s="296"/>
      <c r="AR451" s="286"/>
      <c r="AS451" s="286"/>
      <c r="AT451" s="286"/>
      <c r="AU451" s="286"/>
      <c r="AV451" s="286"/>
      <c r="AW451" s="286"/>
      <c r="AX451" s="286"/>
      <c r="AY451" s="286"/>
      <c r="AZ451" s="286"/>
      <c r="BA451" s="286"/>
      <c r="BB451" s="286"/>
      <c r="BC451" s="286"/>
      <c r="BD451" s="287"/>
      <c r="BE451" s="287"/>
      <c r="BF451" s="287"/>
      <c r="BG451" s="287"/>
      <c r="BH451" s="287"/>
      <c r="BI451" s="287"/>
      <c r="BJ451" s="287"/>
      <c r="BK451" s="287"/>
      <c r="BL451" s="287"/>
      <c r="BM451" s="287"/>
      <c r="BN451" s="287"/>
      <c r="BO451" s="287"/>
      <c r="BP451" s="287"/>
      <c r="BQ451" s="287"/>
      <c r="BR451" s="287"/>
      <c r="BS451" s="287"/>
      <c r="BT451" s="287"/>
      <c r="BU451" s="287"/>
      <c r="BV451" s="287"/>
      <c r="BW451" s="287"/>
      <c r="BX451" s="286"/>
      <c r="BY451" s="289"/>
      <c r="BZ451" s="289"/>
      <c r="CA451" s="289"/>
      <c r="CB451" s="289"/>
      <c r="CC451" s="289"/>
      <c r="CD451" s="289"/>
      <c r="CE451" s="289"/>
      <c r="CF451" s="289"/>
      <c r="CG451" s="287"/>
      <c r="CH451" s="287"/>
      <c r="CI451" s="287"/>
      <c r="CJ451" s="287"/>
      <c r="CK451" s="287"/>
      <c r="CL451" s="287"/>
      <c r="CM451" s="287"/>
      <c r="CN451" s="287"/>
      <c r="CO451" s="287"/>
      <c r="CP451" s="287"/>
      <c r="CQ451" s="287"/>
      <c r="CR451" s="287"/>
      <c r="CS451" s="6"/>
      <c r="CT451" s="6"/>
      <c r="CU451" s="6"/>
      <c r="CV451" s="6"/>
      <c r="CW451" s="6"/>
      <c r="CX451" s="6"/>
      <c r="CY451" s="6"/>
      <c r="CZ451" s="6"/>
      <c r="DA451" s="343">
        <f t="shared" si="17"/>
        <v>0.98</v>
      </c>
    </row>
    <row r="452" spans="1:105" ht="20" customHeight="1" x14ac:dyDescent="0.35">
      <c r="A452" s="290"/>
      <c r="B452" s="270" t="s">
        <v>991</v>
      </c>
      <c r="C452" s="270" t="s">
        <v>238</v>
      </c>
      <c r="D452" s="270" t="s">
        <v>632</v>
      </c>
      <c r="E452" s="270" t="s">
        <v>1268</v>
      </c>
      <c r="F452" s="270" t="s">
        <v>422</v>
      </c>
      <c r="G452" s="270" t="s">
        <v>522</v>
      </c>
      <c r="H452" s="298">
        <v>0</v>
      </c>
      <c r="I452" s="286"/>
      <c r="J452" s="286"/>
      <c r="K452" s="286"/>
      <c r="L452" s="286"/>
      <c r="M452" s="286"/>
      <c r="N452" s="286"/>
      <c r="O452" s="286">
        <v>29.5</v>
      </c>
      <c r="P452" s="286"/>
      <c r="Q452" s="286"/>
      <c r="R452" s="286"/>
      <c r="S452" s="286"/>
      <c r="T452" s="286"/>
      <c r="U452" s="286"/>
      <c r="V452" s="294"/>
      <c r="W452" s="286"/>
      <c r="X452" s="286"/>
      <c r="Y452" s="286"/>
      <c r="Z452" s="286"/>
      <c r="AA452" s="286"/>
      <c r="AB452" s="286"/>
      <c r="AC452" s="286"/>
      <c r="AD452" s="286"/>
      <c r="AE452" s="286">
        <v>29</v>
      </c>
      <c r="AF452" s="286"/>
      <c r="AG452" s="286"/>
      <c r="AH452" s="286"/>
      <c r="AI452" s="286"/>
      <c r="AJ452" s="286"/>
      <c r="AK452" s="287"/>
      <c r="AL452" s="288"/>
      <c r="AM452" s="287">
        <v>28</v>
      </c>
      <c r="AN452" s="287"/>
      <c r="AO452" s="287"/>
      <c r="AP452" s="286"/>
      <c r="AQ452" s="296"/>
      <c r="AR452" s="286"/>
      <c r="AS452" s="286"/>
      <c r="AT452" s="286"/>
      <c r="AU452" s="286"/>
      <c r="AV452" s="286"/>
      <c r="AW452" s="286"/>
      <c r="AX452" s="286"/>
      <c r="AY452" s="286"/>
      <c r="AZ452" s="286"/>
      <c r="BA452" s="286"/>
      <c r="BB452" s="286"/>
      <c r="BC452" s="286"/>
      <c r="BD452" s="287"/>
      <c r="BE452" s="287"/>
      <c r="BF452" s="287"/>
      <c r="BG452" s="287"/>
      <c r="BH452" s="287"/>
      <c r="BI452" s="287"/>
      <c r="BJ452" s="287"/>
      <c r="BK452" s="287"/>
      <c r="BL452" s="287"/>
      <c r="BM452" s="287"/>
      <c r="BN452" s="287"/>
      <c r="BO452" s="287"/>
      <c r="BP452" s="287"/>
      <c r="BQ452" s="287"/>
      <c r="BR452" s="287"/>
      <c r="BS452" s="287"/>
      <c r="BT452" s="287"/>
      <c r="BU452" s="287"/>
      <c r="BV452" s="287"/>
      <c r="BW452" s="287"/>
      <c r="BX452" s="286"/>
      <c r="BY452" s="289"/>
      <c r="BZ452" s="289"/>
      <c r="CA452" s="289"/>
      <c r="CB452" s="289"/>
      <c r="CC452" s="289"/>
      <c r="CD452" s="289"/>
      <c r="CE452" s="289"/>
      <c r="CF452" s="289"/>
      <c r="CG452" s="287"/>
      <c r="CH452" s="287"/>
      <c r="CI452" s="287"/>
      <c r="CJ452" s="287"/>
      <c r="CK452" s="287"/>
      <c r="CL452" s="287"/>
      <c r="CM452" s="287"/>
      <c r="CN452" s="287"/>
      <c r="CO452" s="287"/>
      <c r="CP452" s="287"/>
      <c r="CQ452" s="287"/>
      <c r="CR452" s="287"/>
      <c r="CS452" s="6"/>
      <c r="CT452" s="6"/>
      <c r="CU452" s="6"/>
      <c r="CV452" s="6"/>
      <c r="CW452" s="6"/>
      <c r="CX452" s="6"/>
      <c r="CY452" s="6"/>
      <c r="CZ452" s="6"/>
      <c r="DA452" s="343">
        <f t="shared" si="17"/>
        <v>0</v>
      </c>
    </row>
    <row r="453" spans="1:105" ht="20" customHeight="1" x14ac:dyDescent="0.35">
      <c r="A453" s="290">
        <v>520748</v>
      </c>
      <c r="B453" s="270" t="s">
        <v>992</v>
      </c>
      <c r="C453" s="270" t="s">
        <v>1633</v>
      </c>
      <c r="D453" s="297" t="s">
        <v>604</v>
      </c>
      <c r="E453" s="270" t="s">
        <v>604</v>
      </c>
      <c r="F453" s="270" t="s">
        <v>1828</v>
      </c>
      <c r="G453" s="270" t="s">
        <v>33</v>
      </c>
      <c r="H453" s="363">
        <v>17.8</v>
      </c>
      <c r="I453" s="286">
        <v>30</v>
      </c>
      <c r="J453" s="286"/>
      <c r="K453" s="286"/>
      <c r="L453" s="286"/>
      <c r="M453" s="286"/>
      <c r="N453" s="300"/>
      <c r="O453" s="286"/>
      <c r="P453" s="300"/>
      <c r="Q453" s="286"/>
      <c r="R453" s="286"/>
      <c r="S453" s="286"/>
      <c r="T453" s="286"/>
      <c r="U453" s="286"/>
      <c r="V453" s="294"/>
      <c r="W453" s="286"/>
      <c r="X453" s="286"/>
      <c r="Y453" s="286"/>
      <c r="Z453" s="300"/>
      <c r="AA453" s="286"/>
      <c r="AB453" s="286"/>
      <c r="AC453" s="286"/>
      <c r="AD453" s="286"/>
      <c r="AE453" s="286">
        <v>26</v>
      </c>
      <c r="AF453" s="300"/>
      <c r="AG453" s="286"/>
      <c r="AH453" s="286"/>
      <c r="AI453" s="286"/>
      <c r="AJ453" s="286"/>
      <c r="AK453" s="287"/>
      <c r="AL453" s="288"/>
      <c r="AM453" s="287"/>
      <c r="AN453" s="287"/>
      <c r="AO453" s="287"/>
      <c r="AP453" s="286"/>
      <c r="AQ453" s="296"/>
      <c r="AR453" s="286"/>
      <c r="AS453" s="286"/>
      <c r="AT453" s="286"/>
      <c r="AU453" s="286"/>
      <c r="AV453" s="286"/>
      <c r="AW453" s="286"/>
      <c r="AX453" s="286"/>
      <c r="AY453" s="286"/>
      <c r="AZ453" s="286"/>
      <c r="BA453" s="286"/>
      <c r="BB453" s="286"/>
      <c r="BC453" s="286"/>
      <c r="BD453" s="287"/>
      <c r="BE453" s="287"/>
      <c r="BF453" s="287"/>
      <c r="BG453" s="288"/>
      <c r="BH453" s="287"/>
      <c r="BI453" s="287"/>
      <c r="BJ453" s="287"/>
      <c r="BK453" s="287"/>
      <c r="BL453" s="287"/>
      <c r="BM453" s="287"/>
      <c r="BN453" s="287"/>
      <c r="BO453" s="287"/>
      <c r="BP453" s="287"/>
      <c r="BQ453" s="287"/>
      <c r="BR453" s="287"/>
      <c r="BS453" s="287"/>
      <c r="BT453" s="287"/>
      <c r="BU453" s="299"/>
      <c r="BV453" s="287"/>
      <c r="BW453" s="287"/>
      <c r="BX453" s="286"/>
      <c r="BY453" s="289"/>
      <c r="BZ453" s="289"/>
      <c r="CA453" s="289"/>
      <c r="CB453" s="289"/>
      <c r="CC453" s="289"/>
      <c r="CD453" s="289"/>
      <c r="CE453" s="289"/>
      <c r="CF453" s="289"/>
      <c r="CG453" s="287"/>
      <c r="CH453" s="287"/>
      <c r="CI453" s="287"/>
      <c r="CJ453" s="287"/>
      <c r="CK453" s="287"/>
      <c r="CL453" s="287"/>
      <c r="CM453" s="287"/>
      <c r="CN453" s="287"/>
      <c r="CO453" s="287"/>
      <c r="CP453" s="287"/>
      <c r="CQ453" s="287"/>
      <c r="CR453" s="287"/>
      <c r="CS453" s="6"/>
      <c r="CT453" s="6"/>
      <c r="CU453" s="6"/>
      <c r="CV453" s="6"/>
      <c r="CW453" s="6"/>
      <c r="CX453" s="6"/>
      <c r="CY453" s="6"/>
      <c r="CZ453" s="6"/>
      <c r="DA453" s="343">
        <f t="shared" si="17"/>
        <v>17.8</v>
      </c>
    </row>
    <row r="454" spans="1:105" ht="20" customHeight="1" x14ac:dyDescent="0.35">
      <c r="A454" s="290"/>
      <c r="B454" s="270" t="s">
        <v>993</v>
      </c>
      <c r="C454" s="270" t="s">
        <v>1633</v>
      </c>
      <c r="D454" s="297" t="s">
        <v>312</v>
      </c>
      <c r="E454" s="270" t="s">
        <v>199</v>
      </c>
      <c r="F454" s="270" t="s">
        <v>1828</v>
      </c>
      <c r="G454" s="270" t="s">
        <v>33</v>
      </c>
      <c r="H454" s="298">
        <v>31</v>
      </c>
      <c r="I454" s="292"/>
      <c r="J454" s="286"/>
      <c r="K454" s="286"/>
      <c r="L454" s="286">
        <v>36</v>
      </c>
      <c r="M454" s="286"/>
      <c r="N454" s="292">
        <v>36</v>
      </c>
      <c r="O454" s="286">
        <v>36</v>
      </c>
      <c r="P454" s="286"/>
      <c r="Q454" s="286"/>
      <c r="R454" s="286"/>
      <c r="S454" s="286"/>
      <c r="T454" s="286"/>
      <c r="U454" s="286"/>
      <c r="V454" s="294"/>
      <c r="W454" s="286"/>
      <c r="X454" s="286"/>
      <c r="Y454" s="286"/>
      <c r="Z454" s="286">
        <v>35</v>
      </c>
      <c r="AA454" s="286"/>
      <c r="AB454" s="286"/>
      <c r="AC454" s="286">
        <v>36</v>
      </c>
      <c r="AD454" s="286"/>
      <c r="AE454" s="286"/>
      <c r="AF454" s="286"/>
      <c r="AG454" s="286"/>
      <c r="AH454" s="286"/>
      <c r="AI454" s="286"/>
      <c r="AJ454" s="286"/>
      <c r="AK454" s="287"/>
      <c r="AL454" s="288"/>
      <c r="AM454" s="287"/>
      <c r="AN454" s="287"/>
      <c r="AO454" s="287"/>
      <c r="AP454" s="286"/>
      <c r="AQ454" s="296">
        <v>37</v>
      </c>
      <c r="AR454" s="286"/>
      <c r="AS454" s="286"/>
      <c r="AT454" s="286"/>
      <c r="AU454" s="286"/>
      <c r="AV454" s="286"/>
      <c r="AW454" s="286"/>
      <c r="AX454" s="286"/>
      <c r="AY454" s="286"/>
      <c r="AZ454" s="286"/>
      <c r="BA454" s="286"/>
      <c r="BB454" s="286"/>
      <c r="BC454" s="286"/>
      <c r="BD454" s="287"/>
      <c r="BE454" s="287"/>
      <c r="BF454" s="287"/>
      <c r="BG454" s="288">
        <v>37</v>
      </c>
      <c r="BH454" s="287"/>
      <c r="BI454" s="287"/>
      <c r="BJ454" s="287"/>
      <c r="BK454" s="287"/>
      <c r="BL454" s="287"/>
      <c r="BM454" s="287"/>
      <c r="BN454" s="287"/>
      <c r="BO454" s="287"/>
      <c r="BP454" s="287"/>
      <c r="BQ454" s="287"/>
      <c r="BR454" s="287"/>
      <c r="BS454" s="287"/>
      <c r="BT454" s="287"/>
      <c r="BU454" s="287"/>
      <c r="BV454" s="287"/>
      <c r="BW454" s="287"/>
      <c r="BX454" s="286"/>
      <c r="BY454" s="289"/>
      <c r="BZ454" s="289"/>
      <c r="CA454" s="289"/>
      <c r="CB454" s="289"/>
      <c r="CC454" s="289"/>
      <c r="CD454" s="289"/>
      <c r="CE454" s="289"/>
      <c r="CF454" s="289"/>
      <c r="CG454" s="287"/>
      <c r="CH454" s="287"/>
      <c r="CI454" s="287"/>
      <c r="CJ454" s="287"/>
      <c r="CK454" s="287"/>
      <c r="CL454" s="287"/>
      <c r="CM454" s="287"/>
      <c r="CN454" s="287"/>
      <c r="CO454" s="287"/>
      <c r="CP454" s="287"/>
      <c r="CQ454" s="287"/>
      <c r="CR454" s="287"/>
      <c r="CS454" s="287"/>
      <c r="CT454" s="6"/>
      <c r="CU454" s="6"/>
      <c r="CV454" s="6"/>
      <c r="CW454" s="6"/>
      <c r="CX454" s="6"/>
      <c r="CY454" s="6"/>
      <c r="CZ454" s="6"/>
      <c r="DA454" s="343">
        <f t="shared" si="17"/>
        <v>31</v>
      </c>
    </row>
    <row r="455" spans="1:105" ht="20" customHeight="1" x14ac:dyDescent="0.35">
      <c r="A455" s="290"/>
      <c r="B455" s="270" t="s">
        <v>994</v>
      </c>
      <c r="C455" s="270" t="s">
        <v>1633</v>
      </c>
      <c r="D455" s="297" t="s">
        <v>312</v>
      </c>
      <c r="E455" s="270" t="s">
        <v>199</v>
      </c>
      <c r="F455" s="270" t="s">
        <v>599</v>
      </c>
      <c r="G455" s="270" t="s">
        <v>44</v>
      </c>
      <c r="H455" s="298">
        <f>H454/10/2</f>
        <v>1.55</v>
      </c>
      <c r="I455" s="292"/>
      <c r="J455" s="286"/>
      <c r="K455" s="286"/>
      <c r="L455" s="286"/>
      <c r="M455" s="286"/>
      <c r="N455" s="286"/>
      <c r="O455" s="286"/>
      <c r="P455" s="286"/>
      <c r="Q455" s="286"/>
      <c r="R455" s="286"/>
      <c r="S455" s="286"/>
      <c r="T455" s="286"/>
      <c r="U455" s="286"/>
      <c r="V455" s="294"/>
      <c r="W455" s="286"/>
      <c r="X455" s="286"/>
      <c r="Y455" s="286"/>
      <c r="Z455" s="286"/>
      <c r="AA455" s="286"/>
      <c r="AB455" s="286"/>
      <c r="AC455" s="286"/>
      <c r="AD455" s="286"/>
      <c r="AE455" s="286"/>
      <c r="AF455" s="286"/>
      <c r="AG455" s="286"/>
      <c r="AH455" s="286"/>
      <c r="AI455" s="286"/>
      <c r="AJ455" s="286"/>
      <c r="AK455" s="287"/>
      <c r="AL455" s="288"/>
      <c r="AM455" s="287"/>
      <c r="AN455" s="287"/>
      <c r="AO455" s="287"/>
      <c r="AP455" s="286"/>
      <c r="AQ455" s="296"/>
      <c r="AR455" s="286"/>
      <c r="AS455" s="286"/>
      <c r="AT455" s="286"/>
      <c r="AU455" s="286"/>
      <c r="AV455" s="286"/>
      <c r="AW455" s="286"/>
      <c r="AX455" s="286"/>
      <c r="AY455" s="286"/>
      <c r="AZ455" s="286"/>
      <c r="BA455" s="286"/>
      <c r="BB455" s="286"/>
      <c r="BC455" s="286"/>
      <c r="BD455" s="287"/>
      <c r="BE455" s="287"/>
      <c r="BF455" s="287"/>
      <c r="BG455" s="287"/>
      <c r="BH455" s="287"/>
      <c r="BI455" s="287"/>
      <c r="BJ455" s="287"/>
      <c r="BK455" s="287"/>
      <c r="BL455" s="287"/>
      <c r="BM455" s="287"/>
      <c r="BN455" s="287"/>
      <c r="BO455" s="287"/>
      <c r="BP455" s="287"/>
      <c r="BQ455" s="287"/>
      <c r="BR455" s="287"/>
      <c r="BS455" s="287"/>
      <c r="BT455" s="287"/>
      <c r="BU455" s="287"/>
      <c r="BV455" s="287"/>
      <c r="BW455" s="287"/>
      <c r="BX455" s="286"/>
      <c r="BY455" s="289"/>
      <c r="BZ455" s="289"/>
      <c r="CA455" s="289"/>
      <c r="CB455" s="289"/>
      <c r="CC455" s="289"/>
      <c r="CD455" s="289"/>
      <c r="CE455" s="289"/>
      <c r="CF455" s="289"/>
      <c r="CG455" s="287"/>
      <c r="CH455" s="287"/>
      <c r="CI455" s="287"/>
      <c r="CJ455" s="287"/>
      <c r="CK455" s="287"/>
      <c r="CL455" s="287"/>
      <c r="CM455" s="287"/>
      <c r="CN455" s="287"/>
      <c r="CO455" s="287"/>
      <c r="CP455" s="287"/>
      <c r="CQ455" s="287"/>
      <c r="CR455" s="287"/>
      <c r="CS455" s="6"/>
      <c r="CT455" s="6"/>
      <c r="CU455" s="6"/>
      <c r="CV455" s="6"/>
      <c r="CW455" s="6"/>
      <c r="CX455" s="6"/>
      <c r="CY455" s="6"/>
      <c r="CZ455" s="6"/>
      <c r="DA455" s="343">
        <f t="shared" si="17"/>
        <v>1.55</v>
      </c>
    </row>
    <row r="456" spans="1:105" ht="20" customHeight="1" x14ac:dyDescent="0.35">
      <c r="A456" s="290">
        <v>520706</v>
      </c>
      <c r="B456" s="270" t="s">
        <v>995</v>
      </c>
      <c r="C456" s="270" t="s">
        <v>1633</v>
      </c>
      <c r="D456" s="297" t="s">
        <v>312</v>
      </c>
      <c r="E456" s="270" t="s">
        <v>74</v>
      </c>
      <c r="F456" s="270" t="s">
        <v>1828</v>
      </c>
      <c r="G456" s="270" t="s">
        <v>33</v>
      </c>
      <c r="H456" s="298">
        <v>28</v>
      </c>
      <c r="I456" s="292">
        <v>35</v>
      </c>
      <c r="J456" s="286"/>
      <c r="K456" s="286"/>
      <c r="L456" s="286"/>
      <c r="M456" s="286"/>
      <c r="N456" s="286">
        <v>35</v>
      </c>
      <c r="O456" s="286"/>
      <c r="P456" s="286"/>
      <c r="Q456" s="286"/>
      <c r="R456" s="286"/>
      <c r="S456" s="286"/>
      <c r="T456" s="286"/>
      <c r="U456" s="286"/>
      <c r="V456" s="294"/>
      <c r="W456" s="286"/>
      <c r="X456" s="286"/>
      <c r="Y456" s="286"/>
      <c r="Z456" s="286"/>
      <c r="AA456" s="286"/>
      <c r="AB456" s="286"/>
      <c r="AC456" s="286"/>
      <c r="AD456" s="286"/>
      <c r="AE456" s="286"/>
      <c r="AF456" s="286"/>
      <c r="AG456" s="286"/>
      <c r="AH456" s="286"/>
      <c r="AI456" s="286"/>
      <c r="AJ456" s="286"/>
      <c r="AK456" s="295">
        <v>38</v>
      </c>
      <c r="AL456" s="288"/>
      <c r="AM456" s="287"/>
      <c r="AN456" s="287"/>
      <c r="AO456" s="287"/>
      <c r="AP456" s="286"/>
      <c r="AQ456" s="296">
        <v>38</v>
      </c>
      <c r="AR456" s="286"/>
      <c r="AS456" s="286"/>
      <c r="AT456" s="286"/>
      <c r="AU456" s="286"/>
      <c r="AV456" s="286"/>
      <c r="AW456" s="286"/>
      <c r="AX456" s="286"/>
      <c r="AY456" s="286"/>
      <c r="AZ456" s="286"/>
      <c r="BA456" s="286"/>
      <c r="BB456" s="286"/>
      <c r="BC456" s="286"/>
      <c r="BD456" s="287"/>
      <c r="BE456" s="287"/>
      <c r="BF456" s="287"/>
      <c r="BG456" s="288">
        <v>38</v>
      </c>
      <c r="BH456" s="287"/>
      <c r="BI456" s="287"/>
      <c r="BJ456" s="287"/>
      <c r="BK456" s="287"/>
      <c r="BL456" s="287"/>
      <c r="BM456" s="287"/>
      <c r="BN456" s="287"/>
      <c r="BO456" s="287"/>
      <c r="BP456" s="287"/>
      <c r="BQ456" s="287"/>
      <c r="BR456" s="287"/>
      <c r="BS456" s="287"/>
      <c r="BT456" s="287"/>
      <c r="BU456" s="287"/>
      <c r="BV456" s="287"/>
      <c r="BW456" s="287"/>
      <c r="BX456" s="286"/>
      <c r="BY456" s="289"/>
      <c r="BZ456" s="289">
        <v>0</v>
      </c>
      <c r="CA456" s="289"/>
      <c r="CB456" s="289"/>
      <c r="CC456" s="289"/>
      <c r="CD456" s="289"/>
      <c r="CE456" s="289"/>
      <c r="CF456" s="289"/>
      <c r="CG456" s="287"/>
      <c r="CH456" s="287"/>
      <c r="CI456" s="287"/>
      <c r="CJ456" s="287"/>
      <c r="CK456" s="287"/>
      <c r="CL456" s="287"/>
      <c r="CM456" s="287"/>
      <c r="CN456" s="287"/>
      <c r="CO456" s="287"/>
      <c r="CP456" s="287"/>
      <c r="CQ456" s="287">
        <v>37</v>
      </c>
      <c r="CR456" s="287"/>
      <c r="CS456" s="288">
        <v>32</v>
      </c>
      <c r="CT456" s="6"/>
      <c r="CU456" s="6"/>
      <c r="CV456" s="6"/>
      <c r="CW456" s="6"/>
      <c r="CX456" s="6"/>
      <c r="CY456" s="6"/>
      <c r="CZ456" s="6"/>
      <c r="DA456" s="343">
        <f t="shared" si="17"/>
        <v>28</v>
      </c>
    </row>
    <row r="457" spans="1:105" ht="20" customHeight="1" x14ac:dyDescent="0.35">
      <c r="A457" s="290" t="s">
        <v>2078</v>
      </c>
      <c r="B457" s="270" t="s">
        <v>995</v>
      </c>
      <c r="C457" s="270" t="s">
        <v>1633</v>
      </c>
      <c r="D457" s="297" t="s">
        <v>312</v>
      </c>
      <c r="E457" s="270" t="s">
        <v>74</v>
      </c>
      <c r="F457" s="270" t="s">
        <v>1828</v>
      </c>
      <c r="G457" s="270" t="s">
        <v>33</v>
      </c>
      <c r="H457" s="298">
        <v>28</v>
      </c>
      <c r="I457" s="292">
        <v>35</v>
      </c>
      <c r="J457" s="286"/>
      <c r="K457" s="286"/>
      <c r="L457" s="286"/>
      <c r="M457" s="286"/>
      <c r="N457" s="286">
        <v>35</v>
      </c>
      <c r="O457" s="286"/>
      <c r="P457" s="286"/>
      <c r="Q457" s="286"/>
      <c r="R457" s="286"/>
      <c r="S457" s="286"/>
      <c r="T457" s="286"/>
      <c r="U457" s="286"/>
      <c r="V457" s="294"/>
      <c r="W457" s="286"/>
      <c r="X457" s="286"/>
      <c r="Y457" s="286"/>
      <c r="Z457" s="286"/>
      <c r="AA457" s="286"/>
      <c r="AB457" s="286"/>
      <c r="AC457" s="286"/>
      <c r="AD457" s="286"/>
      <c r="AE457" s="286"/>
      <c r="AF457" s="286"/>
      <c r="AG457" s="286"/>
      <c r="AH457" s="286"/>
      <c r="AI457" s="286"/>
      <c r="AJ457" s="286"/>
      <c r="AK457" s="295">
        <v>38</v>
      </c>
      <c r="AL457" s="288"/>
      <c r="AM457" s="287"/>
      <c r="AN457" s="287"/>
      <c r="AO457" s="287"/>
      <c r="AP457" s="286"/>
      <c r="AQ457" s="296">
        <v>38</v>
      </c>
      <c r="AR457" s="286"/>
      <c r="AS457" s="286"/>
      <c r="AT457" s="286"/>
      <c r="AU457" s="286"/>
      <c r="AV457" s="286"/>
      <c r="AW457" s="286"/>
      <c r="AX457" s="286"/>
      <c r="AY457" s="286"/>
      <c r="AZ457" s="286"/>
      <c r="BA457" s="286"/>
      <c r="BB457" s="286"/>
      <c r="BC457" s="286"/>
      <c r="BD457" s="287"/>
      <c r="BE457" s="287"/>
      <c r="BF457" s="287"/>
      <c r="BG457" s="288">
        <v>38</v>
      </c>
      <c r="BH457" s="287"/>
      <c r="BI457" s="287"/>
      <c r="BJ457" s="287"/>
      <c r="BK457" s="287"/>
      <c r="BL457" s="287"/>
      <c r="BM457" s="287"/>
      <c r="BN457" s="287"/>
      <c r="BO457" s="287"/>
      <c r="BP457" s="287"/>
      <c r="BQ457" s="287"/>
      <c r="BR457" s="287"/>
      <c r="BS457" s="287"/>
      <c r="BT457" s="287"/>
      <c r="BU457" s="287"/>
      <c r="BV457" s="287"/>
      <c r="BW457" s="287"/>
      <c r="BX457" s="286"/>
      <c r="BY457" s="289"/>
      <c r="BZ457" s="289">
        <v>0</v>
      </c>
      <c r="CA457" s="289"/>
      <c r="CB457" s="289"/>
      <c r="CC457" s="289"/>
      <c r="CD457" s="289"/>
      <c r="CE457" s="289"/>
      <c r="CF457" s="289"/>
      <c r="CG457" s="287"/>
      <c r="CH457" s="287"/>
      <c r="CI457" s="287"/>
      <c r="CJ457" s="287"/>
      <c r="CK457" s="287"/>
      <c r="CL457" s="287"/>
      <c r="CM457" s="287"/>
      <c r="CN457" s="287"/>
      <c r="CO457" s="287"/>
      <c r="CP457" s="287"/>
      <c r="CQ457" s="287">
        <v>37</v>
      </c>
      <c r="CR457" s="287"/>
      <c r="CS457" s="288">
        <v>32</v>
      </c>
      <c r="CT457" s="6"/>
      <c r="CU457" s="6"/>
      <c r="CV457" s="6"/>
      <c r="CW457" s="6"/>
      <c r="CX457" s="6"/>
      <c r="CY457" s="6"/>
      <c r="CZ457" s="6"/>
      <c r="DA457" s="343">
        <f>H457</f>
        <v>28</v>
      </c>
    </row>
    <row r="458" spans="1:105" ht="20" customHeight="1" x14ac:dyDescent="0.35">
      <c r="A458" s="290"/>
      <c r="B458" s="270" t="s">
        <v>996</v>
      </c>
      <c r="C458" s="270" t="s">
        <v>1633</v>
      </c>
      <c r="D458" s="297" t="s">
        <v>312</v>
      </c>
      <c r="E458" s="270" t="s">
        <v>312</v>
      </c>
      <c r="F458" s="270" t="s">
        <v>55</v>
      </c>
      <c r="G458" s="270" t="s">
        <v>33</v>
      </c>
      <c r="H458" s="363">
        <v>29</v>
      </c>
      <c r="I458" s="292"/>
      <c r="J458" s="286"/>
      <c r="K458" s="286"/>
      <c r="L458" s="286"/>
      <c r="M458" s="286"/>
      <c r="N458" s="292"/>
      <c r="O458" s="286">
        <v>34</v>
      </c>
      <c r="P458" s="292">
        <v>34</v>
      </c>
      <c r="Q458" s="286"/>
      <c r="R458" s="286">
        <v>34</v>
      </c>
      <c r="S458" s="300">
        <v>36</v>
      </c>
      <c r="T458" s="286"/>
      <c r="U458" s="286"/>
      <c r="V458" s="294"/>
      <c r="W458" s="286"/>
      <c r="X458" s="286"/>
      <c r="Y458" s="286"/>
      <c r="Z458" s="286"/>
      <c r="AA458" s="286"/>
      <c r="AB458" s="286"/>
      <c r="AC458" s="286"/>
      <c r="AD458" s="286"/>
      <c r="AE458" s="286"/>
      <c r="AF458" s="286"/>
      <c r="AG458" s="286">
        <v>34</v>
      </c>
      <c r="AH458" s="286"/>
      <c r="AI458" s="286"/>
      <c r="AJ458" s="286"/>
      <c r="AK458" s="287"/>
      <c r="AL458" s="288"/>
      <c r="AM458" s="287"/>
      <c r="AN458" s="287"/>
      <c r="AO458" s="287"/>
      <c r="AP458" s="286"/>
      <c r="AQ458" s="296">
        <v>35</v>
      </c>
      <c r="AR458" s="286"/>
      <c r="AS458" s="286"/>
      <c r="AT458" s="286"/>
      <c r="AU458" s="286"/>
      <c r="AV458" s="286"/>
      <c r="AW458" s="286"/>
      <c r="AX458" s="286"/>
      <c r="AY458" s="286"/>
      <c r="AZ458" s="286"/>
      <c r="BA458" s="286"/>
      <c r="BB458" s="286"/>
      <c r="BC458" s="286"/>
      <c r="BD458" s="287"/>
      <c r="BE458" s="287"/>
      <c r="BF458" s="287"/>
      <c r="BG458" s="288">
        <v>35</v>
      </c>
      <c r="BH458" s="287"/>
      <c r="BI458" s="287"/>
      <c r="BJ458" s="287"/>
      <c r="BK458" s="287"/>
      <c r="BL458" s="287"/>
      <c r="BM458" s="287"/>
      <c r="BN458" s="287"/>
      <c r="BO458" s="287"/>
      <c r="BP458" s="287"/>
      <c r="BQ458" s="287"/>
      <c r="BR458" s="287"/>
      <c r="BS458" s="287"/>
      <c r="BT458" s="287"/>
      <c r="BU458" s="287"/>
      <c r="BV458" s="287"/>
      <c r="BW458" s="287"/>
      <c r="BX458" s="286"/>
      <c r="BY458" s="289"/>
      <c r="BZ458" s="289"/>
      <c r="CA458" s="289"/>
      <c r="CB458" s="289"/>
      <c r="CC458" s="289"/>
      <c r="CD458" s="289"/>
      <c r="CE458" s="289"/>
      <c r="CF458" s="289"/>
      <c r="CG458" s="287"/>
      <c r="CH458" s="287"/>
      <c r="CI458" s="287"/>
      <c r="CJ458" s="287"/>
      <c r="CK458" s="287"/>
      <c r="CL458" s="287"/>
      <c r="CM458" s="287"/>
      <c r="CN458" s="287"/>
      <c r="CO458" s="287"/>
      <c r="CP458" s="287"/>
      <c r="CQ458" s="287"/>
      <c r="CR458" s="287"/>
      <c r="CS458" s="6"/>
      <c r="CT458" s="6"/>
      <c r="CU458" s="6"/>
      <c r="CV458" s="6"/>
      <c r="CW458" s="6"/>
      <c r="CX458" s="6"/>
      <c r="CY458" s="6"/>
      <c r="CZ458" s="6"/>
      <c r="DA458" s="343">
        <f t="shared" si="17"/>
        <v>29</v>
      </c>
    </row>
    <row r="459" spans="1:105" ht="20" customHeight="1" x14ac:dyDescent="0.35">
      <c r="A459" s="290"/>
      <c r="B459" s="270" t="s">
        <v>997</v>
      </c>
      <c r="C459" s="270" t="s">
        <v>1633</v>
      </c>
      <c r="D459" s="297" t="s">
        <v>312</v>
      </c>
      <c r="E459" s="270" t="s">
        <v>628</v>
      </c>
      <c r="F459" s="270" t="s">
        <v>1828</v>
      </c>
      <c r="G459" s="270" t="s">
        <v>33</v>
      </c>
      <c r="H459" s="298">
        <v>30</v>
      </c>
      <c r="I459" s="292"/>
      <c r="J459" s="286"/>
      <c r="K459" s="286"/>
      <c r="L459" s="286"/>
      <c r="M459" s="286"/>
      <c r="N459" s="286"/>
      <c r="O459" s="286"/>
      <c r="P459" s="286"/>
      <c r="Q459" s="286"/>
      <c r="R459" s="286"/>
      <c r="S459" s="286"/>
      <c r="T459" s="286"/>
      <c r="U459" s="286"/>
      <c r="V459" s="294"/>
      <c r="W459" s="286"/>
      <c r="X459" s="286"/>
      <c r="Y459" s="286"/>
      <c r="Z459" s="286"/>
      <c r="AA459" s="286"/>
      <c r="AB459" s="286"/>
      <c r="AC459" s="286"/>
      <c r="AD459" s="286"/>
      <c r="AE459" s="286"/>
      <c r="AF459" s="286"/>
      <c r="AG459" s="286"/>
      <c r="AH459" s="286"/>
      <c r="AI459" s="286"/>
      <c r="AJ459" s="286"/>
      <c r="AK459" s="287"/>
      <c r="AL459" s="288"/>
      <c r="AM459" s="287"/>
      <c r="AN459" s="287"/>
      <c r="AO459" s="287"/>
      <c r="AP459" s="286"/>
      <c r="AQ459" s="296"/>
      <c r="AR459" s="286"/>
      <c r="AS459" s="286"/>
      <c r="AT459" s="286"/>
      <c r="AU459" s="286"/>
      <c r="AV459" s="286"/>
      <c r="AW459" s="286"/>
      <c r="AX459" s="286"/>
      <c r="AY459" s="286"/>
      <c r="AZ459" s="286"/>
      <c r="BA459" s="286"/>
      <c r="BB459" s="286"/>
      <c r="BC459" s="286"/>
      <c r="BD459" s="287"/>
      <c r="BE459" s="287"/>
      <c r="BF459" s="287"/>
      <c r="BG459" s="288">
        <v>38</v>
      </c>
      <c r="BH459" s="287"/>
      <c r="BI459" s="287"/>
      <c r="BJ459" s="287"/>
      <c r="BK459" s="287"/>
      <c r="BL459" s="287"/>
      <c r="BM459" s="287"/>
      <c r="BN459" s="287"/>
      <c r="BO459" s="287"/>
      <c r="BP459" s="287"/>
      <c r="BQ459" s="287"/>
      <c r="BR459" s="287"/>
      <c r="BS459" s="287"/>
      <c r="BT459" s="287"/>
      <c r="BU459" s="287"/>
      <c r="BV459" s="287"/>
      <c r="BW459" s="287"/>
      <c r="BX459" s="286"/>
      <c r="BY459" s="289"/>
      <c r="BZ459" s="289"/>
      <c r="CA459" s="289"/>
      <c r="CB459" s="289"/>
      <c r="CC459" s="289"/>
      <c r="CD459" s="289"/>
      <c r="CE459" s="289"/>
      <c r="CF459" s="289"/>
      <c r="CG459" s="287"/>
      <c r="CH459" s="287"/>
      <c r="CI459" s="287"/>
      <c r="CJ459" s="287"/>
      <c r="CK459" s="287"/>
      <c r="CL459" s="287"/>
      <c r="CM459" s="287"/>
      <c r="CN459" s="287"/>
      <c r="CO459" s="287"/>
      <c r="CP459" s="287"/>
      <c r="CQ459" s="287"/>
      <c r="CR459" s="287"/>
      <c r="CS459" s="287"/>
      <c r="CT459" s="6"/>
      <c r="CU459" s="6"/>
      <c r="CV459" s="6"/>
      <c r="CW459" s="6"/>
      <c r="CX459" s="6"/>
      <c r="CY459" s="6"/>
      <c r="CZ459" s="6"/>
      <c r="DA459" s="343">
        <f t="shared" si="17"/>
        <v>30</v>
      </c>
    </row>
    <row r="460" spans="1:105" ht="20" customHeight="1" x14ac:dyDescent="0.35">
      <c r="A460" s="290"/>
      <c r="B460" s="270" t="s">
        <v>998</v>
      </c>
      <c r="C460" s="270" t="s">
        <v>249</v>
      </c>
      <c r="D460" s="297" t="s">
        <v>630</v>
      </c>
      <c r="E460" s="270" t="s">
        <v>34</v>
      </c>
      <c r="F460" s="270" t="s">
        <v>1827</v>
      </c>
      <c r="G460" s="270" t="s">
        <v>36</v>
      </c>
      <c r="H460" s="298">
        <v>40</v>
      </c>
      <c r="I460" s="292">
        <v>45</v>
      </c>
      <c r="J460" s="292">
        <v>45</v>
      </c>
      <c r="K460" s="286"/>
      <c r="L460" s="286">
        <v>45</v>
      </c>
      <c r="M460" s="286"/>
      <c r="N460" s="292">
        <v>45</v>
      </c>
      <c r="O460" s="286"/>
      <c r="P460" s="286"/>
      <c r="Q460" s="286"/>
      <c r="R460" s="286"/>
      <c r="S460" s="286"/>
      <c r="T460" s="286">
        <v>45</v>
      </c>
      <c r="U460" s="286"/>
      <c r="V460" s="294"/>
      <c r="W460" s="286"/>
      <c r="X460" s="286"/>
      <c r="Y460" s="286"/>
      <c r="Z460" s="286"/>
      <c r="AA460" s="286"/>
      <c r="AB460" s="286"/>
      <c r="AC460" s="286"/>
      <c r="AD460" s="286"/>
      <c r="AE460" s="286"/>
      <c r="AF460" s="286"/>
      <c r="AG460" s="286"/>
      <c r="AH460" s="286"/>
      <c r="AI460" s="286"/>
      <c r="AJ460" s="286"/>
      <c r="AK460" s="295">
        <v>45</v>
      </c>
      <c r="AL460" s="288"/>
      <c r="AM460" s="287"/>
      <c r="AN460" s="287"/>
      <c r="AO460" s="287"/>
      <c r="AP460" s="286">
        <v>42</v>
      </c>
      <c r="AQ460" s="296">
        <v>48</v>
      </c>
      <c r="AR460" s="286">
        <v>42</v>
      </c>
      <c r="AS460" s="286"/>
      <c r="AT460" s="286">
        <v>42</v>
      </c>
      <c r="AU460" s="286">
        <v>42</v>
      </c>
      <c r="AV460" s="286">
        <v>42</v>
      </c>
      <c r="AW460" s="286">
        <v>42</v>
      </c>
      <c r="AX460" s="286">
        <v>42</v>
      </c>
      <c r="AY460" s="286">
        <v>42</v>
      </c>
      <c r="AZ460" s="286">
        <v>42</v>
      </c>
      <c r="BA460" s="286">
        <v>42</v>
      </c>
      <c r="BB460" s="286">
        <f>BA460</f>
        <v>42</v>
      </c>
      <c r="BC460" s="286">
        <v>42</v>
      </c>
      <c r="BD460" s="287"/>
      <c r="BE460" s="287"/>
      <c r="BF460" s="287"/>
      <c r="BG460" s="288">
        <v>48</v>
      </c>
      <c r="BH460" s="287"/>
      <c r="BI460" s="287"/>
      <c r="BJ460" s="287"/>
      <c r="BK460" s="287"/>
      <c r="BL460" s="287"/>
      <c r="BM460" s="287"/>
      <c r="BN460" s="287"/>
      <c r="BO460" s="287"/>
      <c r="BP460" s="287"/>
      <c r="BQ460" s="287"/>
      <c r="BR460" s="287"/>
      <c r="BS460" s="287"/>
      <c r="BT460" s="287"/>
      <c r="BU460" s="287"/>
      <c r="BV460" s="287"/>
      <c r="BW460" s="287"/>
      <c r="BX460" s="286"/>
      <c r="BY460" s="289"/>
      <c r="BZ460" s="289"/>
      <c r="CA460" s="289"/>
      <c r="CB460" s="289"/>
      <c r="CC460" s="289"/>
      <c r="CD460" s="289"/>
      <c r="CE460" s="289"/>
      <c r="CF460" s="289"/>
      <c r="CG460" s="287"/>
      <c r="CH460" s="287"/>
      <c r="CI460" s="287"/>
      <c r="CJ460" s="287"/>
      <c r="CK460" s="287"/>
      <c r="CL460" s="287"/>
      <c r="CM460" s="287"/>
      <c r="CN460" s="287"/>
      <c r="CO460" s="287"/>
      <c r="CP460" s="287"/>
      <c r="CQ460" s="287"/>
      <c r="CR460" s="287">
        <v>45</v>
      </c>
      <c r="CS460" s="288">
        <v>45</v>
      </c>
      <c r="CT460" s="6"/>
      <c r="CU460" s="6"/>
      <c r="CV460" s="6"/>
      <c r="CW460" s="6"/>
      <c r="CX460" s="6"/>
      <c r="CY460" s="6"/>
      <c r="CZ460" s="6"/>
      <c r="DA460" s="343">
        <f t="shared" si="17"/>
        <v>40</v>
      </c>
    </row>
    <row r="461" spans="1:105" ht="20" customHeight="1" x14ac:dyDescent="0.35">
      <c r="A461" s="290"/>
      <c r="B461" s="270" t="s">
        <v>999</v>
      </c>
      <c r="C461" s="270" t="s">
        <v>249</v>
      </c>
      <c r="D461" s="297" t="s">
        <v>630</v>
      </c>
      <c r="E461" s="270" t="s">
        <v>34</v>
      </c>
      <c r="F461" s="270" t="s">
        <v>1742</v>
      </c>
      <c r="G461" s="270" t="s">
        <v>36</v>
      </c>
      <c r="H461" s="298">
        <f>H460/50</f>
        <v>0.8</v>
      </c>
      <c r="I461" s="292"/>
      <c r="J461" s="286"/>
      <c r="K461" s="286"/>
      <c r="L461" s="286"/>
      <c r="M461" s="286"/>
      <c r="N461" s="292"/>
      <c r="O461" s="286"/>
      <c r="P461" s="286"/>
      <c r="Q461" s="286"/>
      <c r="R461" s="286"/>
      <c r="S461" s="286"/>
      <c r="T461" s="286"/>
      <c r="U461" s="286"/>
      <c r="V461" s="294"/>
      <c r="W461" s="286"/>
      <c r="X461" s="286"/>
      <c r="Y461" s="286"/>
      <c r="Z461" s="286"/>
      <c r="AA461" s="286"/>
      <c r="AB461" s="286"/>
      <c r="AC461" s="286"/>
      <c r="AD461" s="286"/>
      <c r="AE461" s="286"/>
      <c r="AF461" s="286"/>
      <c r="AG461" s="286"/>
      <c r="AH461" s="286"/>
      <c r="AI461" s="286"/>
      <c r="AJ461" s="286"/>
      <c r="AK461" s="287"/>
      <c r="AL461" s="288"/>
      <c r="AM461" s="287"/>
      <c r="AN461" s="287"/>
      <c r="AO461" s="287"/>
      <c r="AP461" s="286"/>
      <c r="AQ461" s="296"/>
      <c r="AR461" s="286"/>
      <c r="AS461" s="286"/>
      <c r="AT461" s="286"/>
      <c r="AU461" s="286"/>
      <c r="AV461" s="286"/>
      <c r="AW461" s="286"/>
      <c r="AX461" s="286"/>
      <c r="AY461" s="286"/>
      <c r="AZ461" s="286"/>
      <c r="BA461" s="286"/>
      <c r="BB461" s="286"/>
      <c r="BC461" s="286"/>
      <c r="BD461" s="287"/>
      <c r="BE461" s="287"/>
      <c r="BF461" s="287"/>
      <c r="BG461" s="287"/>
      <c r="BH461" s="287"/>
      <c r="BI461" s="287"/>
      <c r="BJ461" s="287"/>
      <c r="BK461" s="287"/>
      <c r="BL461" s="287"/>
      <c r="BM461" s="287"/>
      <c r="BN461" s="287"/>
      <c r="BO461" s="287"/>
      <c r="BP461" s="287"/>
      <c r="BQ461" s="287"/>
      <c r="BR461" s="287"/>
      <c r="BS461" s="287"/>
      <c r="BT461" s="287"/>
      <c r="BU461" s="287"/>
      <c r="BV461" s="287"/>
      <c r="BW461" s="287"/>
      <c r="BX461" s="286"/>
      <c r="BY461" s="289"/>
      <c r="BZ461" s="289"/>
      <c r="CA461" s="289"/>
      <c r="CB461" s="289"/>
      <c r="CC461" s="289"/>
      <c r="CD461" s="289"/>
      <c r="CE461" s="289"/>
      <c r="CF461" s="289"/>
      <c r="CG461" s="287"/>
      <c r="CH461" s="287"/>
      <c r="CI461" s="287"/>
      <c r="CJ461" s="287"/>
      <c r="CK461" s="287"/>
      <c r="CL461" s="287"/>
      <c r="CM461" s="287"/>
      <c r="CN461" s="287"/>
      <c r="CO461" s="287"/>
      <c r="CP461" s="287"/>
      <c r="CQ461" s="287"/>
      <c r="CR461" s="287">
        <v>1</v>
      </c>
      <c r="CS461" s="6"/>
      <c r="CT461" s="6"/>
      <c r="CU461" s="6"/>
      <c r="CV461" s="6"/>
      <c r="CW461" s="6"/>
      <c r="CX461" s="6"/>
      <c r="CY461" s="6"/>
      <c r="CZ461" s="6"/>
      <c r="DA461" s="343">
        <f t="shared" si="17"/>
        <v>0.8</v>
      </c>
    </row>
    <row r="462" spans="1:105" ht="20" customHeight="1" x14ac:dyDescent="0.35">
      <c r="A462" s="290">
        <v>4000005651</v>
      </c>
      <c r="B462" s="270" t="s">
        <v>1000</v>
      </c>
      <c r="C462" s="270" t="s">
        <v>251</v>
      </c>
      <c r="D462" s="297" t="s">
        <v>630</v>
      </c>
      <c r="E462" s="270" t="s">
        <v>388</v>
      </c>
      <c r="F462" s="270" t="s">
        <v>1826</v>
      </c>
      <c r="G462" s="270" t="s">
        <v>77</v>
      </c>
      <c r="H462" s="298">
        <v>45</v>
      </c>
      <c r="I462" s="292"/>
      <c r="J462" s="286"/>
      <c r="K462" s="300">
        <v>50</v>
      </c>
      <c r="L462" s="286"/>
      <c r="M462" s="286"/>
      <c r="N462" s="286"/>
      <c r="O462" s="286"/>
      <c r="P462" s="286"/>
      <c r="Q462" s="286"/>
      <c r="R462" s="286"/>
      <c r="S462" s="286"/>
      <c r="T462" s="286"/>
      <c r="U462" s="286"/>
      <c r="V462" s="294"/>
      <c r="W462" s="286"/>
      <c r="X462" s="286"/>
      <c r="Y462" s="286"/>
      <c r="Z462" s="286"/>
      <c r="AA462" s="286"/>
      <c r="AB462" s="286"/>
      <c r="AC462" s="286"/>
      <c r="AD462" s="286"/>
      <c r="AE462" s="286"/>
      <c r="AF462" s="286"/>
      <c r="AG462" s="286"/>
      <c r="AH462" s="286"/>
      <c r="AI462" s="286"/>
      <c r="AJ462" s="286"/>
      <c r="AK462" s="287"/>
      <c r="AL462" s="288"/>
      <c r="AM462" s="287"/>
      <c r="AN462" s="287"/>
      <c r="AO462" s="287"/>
      <c r="AP462" s="286"/>
      <c r="AQ462" s="296"/>
      <c r="AR462" s="286"/>
      <c r="AS462" s="286"/>
      <c r="AT462" s="286"/>
      <c r="AU462" s="286"/>
      <c r="AV462" s="286"/>
      <c r="AW462" s="286"/>
      <c r="AX462" s="286"/>
      <c r="AY462" s="286"/>
      <c r="AZ462" s="286"/>
      <c r="BA462" s="286"/>
      <c r="BB462" s="286"/>
      <c r="BC462" s="286"/>
      <c r="BD462" s="287"/>
      <c r="BE462" s="287"/>
      <c r="BF462" s="287"/>
      <c r="BG462" s="287"/>
      <c r="BH462" s="287"/>
      <c r="BI462" s="287"/>
      <c r="BJ462" s="287"/>
      <c r="BK462" s="287"/>
      <c r="BL462" s="287"/>
      <c r="BM462" s="287"/>
      <c r="BN462" s="287"/>
      <c r="BO462" s="287"/>
      <c r="BP462" s="287"/>
      <c r="BQ462" s="287"/>
      <c r="BR462" s="287"/>
      <c r="BS462" s="287"/>
      <c r="BT462" s="287"/>
      <c r="BU462" s="287"/>
      <c r="BV462" s="287"/>
      <c r="BW462" s="287"/>
      <c r="BX462" s="286"/>
      <c r="BY462" s="289"/>
      <c r="BZ462" s="289"/>
      <c r="CA462" s="289"/>
      <c r="CB462" s="289"/>
      <c r="CC462" s="289"/>
      <c r="CD462" s="289"/>
      <c r="CE462" s="289"/>
      <c r="CF462" s="289"/>
      <c r="CG462" s="287"/>
      <c r="CH462" s="287"/>
      <c r="CI462" s="287"/>
      <c r="CJ462" s="287"/>
      <c r="CK462" s="287"/>
      <c r="CL462" s="287"/>
      <c r="CM462" s="287"/>
      <c r="CN462" s="287"/>
      <c r="CO462" s="287"/>
      <c r="CP462" s="287"/>
      <c r="CQ462" s="287"/>
      <c r="CR462" s="287"/>
      <c r="CS462" s="6"/>
      <c r="CT462" s="6"/>
      <c r="CU462" s="6"/>
      <c r="CV462" s="6"/>
      <c r="CW462" s="6"/>
      <c r="CX462" s="6"/>
      <c r="CY462" s="6"/>
      <c r="CZ462" s="6"/>
      <c r="DA462" s="343">
        <f t="shared" si="17"/>
        <v>45</v>
      </c>
    </row>
    <row r="463" spans="1:105" ht="20" customHeight="1" x14ac:dyDescent="0.35">
      <c r="A463" s="290"/>
      <c r="B463" s="270" t="s">
        <v>1067</v>
      </c>
      <c r="C463" s="270" t="s">
        <v>251</v>
      </c>
      <c r="D463" s="297" t="s">
        <v>630</v>
      </c>
      <c r="E463" s="270" t="s">
        <v>388</v>
      </c>
      <c r="F463" s="270" t="s">
        <v>1068</v>
      </c>
      <c r="G463" s="270" t="s">
        <v>921</v>
      </c>
      <c r="H463" s="298">
        <v>1.26</v>
      </c>
      <c r="I463" s="292"/>
      <c r="J463" s="286"/>
      <c r="K463" s="300"/>
      <c r="L463" s="286"/>
      <c r="M463" s="286"/>
      <c r="N463" s="286"/>
      <c r="O463" s="286"/>
      <c r="P463" s="286"/>
      <c r="Q463" s="286"/>
      <c r="R463" s="286"/>
      <c r="S463" s="286"/>
      <c r="T463" s="286"/>
      <c r="U463" s="286"/>
      <c r="V463" s="294"/>
      <c r="W463" s="286"/>
      <c r="X463" s="286"/>
      <c r="Y463" s="286"/>
      <c r="Z463" s="286"/>
      <c r="AA463" s="286"/>
      <c r="AB463" s="286"/>
      <c r="AC463" s="286"/>
      <c r="AD463" s="286"/>
      <c r="AE463" s="286"/>
      <c r="AF463" s="286"/>
      <c r="AG463" s="286"/>
      <c r="AH463" s="286"/>
      <c r="AI463" s="286"/>
      <c r="AJ463" s="286"/>
      <c r="AK463" s="287"/>
      <c r="AL463" s="288"/>
      <c r="AM463" s="287"/>
      <c r="AN463" s="287"/>
      <c r="AO463" s="287"/>
      <c r="AP463" s="286"/>
      <c r="AQ463" s="296"/>
      <c r="AR463" s="286"/>
      <c r="AS463" s="286"/>
      <c r="AT463" s="286"/>
      <c r="AU463" s="286"/>
      <c r="AV463" s="286"/>
      <c r="AW463" s="286"/>
      <c r="AX463" s="286"/>
      <c r="AY463" s="286"/>
      <c r="AZ463" s="286"/>
      <c r="BA463" s="286"/>
      <c r="BB463" s="286"/>
      <c r="BC463" s="286"/>
      <c r="BD463" s="287"/>
      <c r="BE463" s="287"/>
      <c r="BF463" s="287"/>
      <c r="BG463" s="287"/>
      <c r="BH463" s="287"/>
      <c r="BI463" s="287"/>
      <c r="BJ463" s="287"/>
      <c r="BK463" s="287"/>
      <c r="BL463" s="287"/>
      <c r="BM463" s="287"/>
      <c r="BN463" s="287"/>
      <c r="BO463" s="287"/>
      <c r="BP463" s="287"/>
      <c r="BQ463" s="287"/>
      <c r="BR463" s="287"/>
      <c r="BS463" s="287"/>
      <c r="BT463" s="287"/>
      <c r="BU463" s="287"/>
      <c r="BV463" s="287"/>
      <c r="BW463" s="287"/>
      <c r="BX463" s="286"/>
      <c r="BY463" s="289"/>
      <c r="BZ463" s="289">
        <v>1.6</v>
      </c>
      <c r="CA463" s="289"/>
      <c r="CB463" s="289"/>
      <c r="CC463" s="289"/>
      <c r="CD463" s="289"/>
      <c r="CE463" s="289"/>
      <c r="CF463" s="289"/>
      <c r="CG463" s="287"/>
      <c r="CH463" s="287"/>
      <c r="CI463" s="287"/>
      <c r="CJ463" s="287"/>
      <c r="CK463" s="287"/>
      <c r="CL463" s="287"/>
      <c r="CM463" s="287"/>
      <c r="CN463" s="287"/>
      <c r="CO463" s="287"/>
      <c r="CP463" s="287"/>
      <c r="CQ463" s="287"/>
      <c r="CR463" s="287"/>
      <c r="CS463" s="6"/>
      <c r="CT463" s="6"/>
      <c r="CU463" s="6"/>
      <c r="CV463" s="6"/>
      <c r="CW463" s="6"/>
      <c r="CX463" s="6"/>
      <c r="CY463" s="6"/>
      <c r="CZ463" s="6"/>
      <c r="DA463" s="343">
        <f t="shared" si="17"/>
        <v>1.26</v>
      </c>
    </row>
    <row r="464" spans="1:105" ht="20" customHeight="1" x14ac:dyDescent="0.35">
      <c r="A464" s="301"/>
      <c r="B464" s="270" t="s">
        <v>1001</v>
      </c>
      <c r="C464" s="270" t="s">
        <v>1382</v>
      </c>
      <c r="D464" s="270" t="s">
        <v>606</v>
      </c>
      <c r="E464" s="270" t="s">
        <v>34</v>
      </c>
      <c r="F464" s="270" t="s">
        <v>1383</v>
      </c>
      <c r="G464" s="270" t="s">
        <v>1002</v>
      </c>
      <c r="H464" s="298">
        <f>65/80</f>
        <v>0.8125</v>
      </c>
      <c r="I464" s="286"/>
      <c r="J464" s="292">
        <v>1.2</v>
      </c>
      <c r="K464" s="286"/>
      <c r="L464" s="286"/>
      <c r="M464" s="286"/>
      <c r="N464" s="286"/>
      <c r="O464" s="286"/>
      <c r="P464" s="286"/>
      <c r="Q464" s="286"/>
      <c r="R464" s="286"/>
      <c r="S464" s="286"/>
      <c r="T464" s="286">
        <v>1.2</v>
      </c>
      <c r="U464" s="286"/>
      <c r="V464" s="286"/>
      <c r="W464" s="286"/>
      <c r="X464" s="286"/>
      <c r="Y464" s="286"/>
      <c r="Z464" s="286"/>
      <c r="AA464" s="286"/>
      <c r="AB464" s="286"/>
      <c r="AC464" s="286"/>
      <c r="AD464" s="286"/>
      <c r="AE464" s="286"/>
      <c r="AF464" s="286"/>
      <c r="AG464" s="286"/>
      <c r="AH464" s="286"/>
      <c r="AI464" s="286"/>
      <c r="AJ464" s="286"/>
      <c r="AK464" s="287"/>
      <c r="AL464" s="288"/>
      <c r="AM464" s="287"/>
      <c r="AN464" s="287"/>
      <c r="AO464" s="287"/>
      <c r="AP464" s="286"/>
      <c r="AQ464" s="296"/>
      <c r="AR464" s="286"/>
      <c r="AS464" s="286"/>
      <c r="AT464" s="286"/>
      <c r="AU464" s="286"/>
      <c r="AV464" s="286"/>
      <c r="AW464" s="286"/>
      <c r="AX464" s="286"/>
      <c r="AY464" s="286"/>
      <c r="AZ464" s="286"/>
      <c r="BA464" s="286"/>
      <c r="BB464" s="286"/>
      <c r="BC464" s="286"/>
      <c r="BD464" s="287"/>
      <c r="BE464" s="287"/>
      <c r="BF464" s="287"/>
      <c r="BG464" s="287"/>
      <c r="BH464" s="287"/>
      <c r="BI464" s="287"/>
      <c r="BJ464" s="287"/>
      <c r="BK464" s="287"/>
      <c r="BL464" s="287"/>
      <c r="BM464" s="287"/>
      <c r="BN464" s="287"/>
      <c r="BO464" s="287"/>
      <c r="BP464" s="287"/>
      <c r="BQ464" s="287"/>
      <c r="BR464" s="287"/>
      <c r="BS464" s="287"/>
      <c r="BT464" s="287"/>
      <c r="BU464" s="287"/>
      <c r="BV464" s="287"/>
      <c r="BW464" s="287"/>
      <c r="BX464" s="286"/>
      <c r="BY464" s="289"/>
      <c r="BZ464" s="289"/>
      <c r="CA464" s="289"/>
      <c r="CB464" s="289"/>
      <c r="CC464" s="289"/>
      <c r="CD464" s="289"/>
      <c r="CE464" s="289"/>
      <c r="CF464" s="289"/>
      <c r="CG464" s="287"/>
      <c r="CH464" s="287"/>
      <c r="CI464" s="287"/>
      <c r="CJ464" s="287"/>
      <c r="CK464" s="287"/>
      <c r="CL464" s="287"/>
      <c r="CM464" s="287"/>
      <c r="CN464" s="287"/>
      <c r="CO464" s="287"/>
      <c r="CP464" s="287"/>
      <c r="CQ464" s="287"/>
      <c r="CR464" s="287"/>
      <c r="CS464" s="6"/>
      <c r="CT464" s="6"/>
      <c r="CU464" s="6"/>
      <c r="CV464" s="6"/>
      <c r="CW464" s="6"/>
      <c r="CX464" s="6"/>
      <c r="CY464" s="6"/>
      <c r="CZ464" s="6"/>
      <c r="DA464" s="343">
        <f t="shared" si="17"/>
        <v>0.8125</v>
      </c>
    </row>
    <row r="465" spans="1:105" ht="20" customHeight="1" x14ac:dyDescent="0.35">
      <c r="A465" s="301" t="s">
        <v>1179</v>
      </c>
      <c r="B465" s="270" t="s">
        <v>1160</v>
      </c>
      <c r="C465" s="270" t="s">
        <v>1547</v>
      </c>
      <c r="D465" s="270" t="s">
        <v>632</v>
      </c>
      <c r="E465" s="270" t="s">
        <v>378</v>
      </c>
      <c r="F465" s="270" t="s">
        <v>328</v>
      </c>
      <c r="G465" s="270" t="s">
        <v>38</v>
      </c>
      <c r="H465" s="298">
        <f>27/5</f>
        <v>5.4</v>
      </c>
      <c r="I465" s="286">
        <v>7</v>
      </c>
      <c r="J465" s="286"/>
      <c r="K465" s="286"/>
      <c r="L465" s="286"/>
      <c r="M465" s="286"/>
      <c r="N465" s="286"/>
      <c r="O465" s="286"/>
      <c r="P465" s="286"/>
      <c r="Q465" s="286"/>
      <c r="R465" s="286"/>
      <c r="S465" s="286"/>
      <c r="T465" s="286"/>
      <c r="U465" s="286"/>
      <c r="V465" s="286"/>
      <c r="W465" s="286"/>
      <c r="X465" s="286"/>
      <c r="Y465" s="286"/>
      <c r="Z465" s="286"/>
      <c r="AA465" s="286"/>
      <c r="AB465" s="286"/>
      <c r="AC465" s="286"/>
      <c r="AD465" s="286"/>
      <c r="AE465" s="286"/>
      <c r="AF465" s="286"/>
      <c r="AG465" s="286"/>
      <c r="AH465" s="286"/>
      <c r="AI465" s="286"/>
      <c r="AJ465" s="286"/>
      <c r="AK465" s="295">
        <v>8.5</v>
      </c>
      <c r="AL465" s="288"/>
      <c r="AM465" s="287"/>
      <c r="AN465" s="287"/>
      <c r="AO465" s="287"/>
      <c r="AP465" s="286"/>
      <c r="AQ465" s="296"/>
      <c r="AR465" s="286"/>
      <c r="AS465" s="286"/>
      <c r="AT465" s="286"/>
      <c r="AU465" s="286"/>
      <c r="AV465" s="286"/>
      <c r="AW465" s="286"/>
      <c r="AX465" s="286"/>
      <c r="AY465" s="286"/>
      <c r="AZ465" s="286"/>
      <c r="BA465" s="286"/>
      <c r="BB465" s="286"/>
      <c r="BC465" s="286"/>
      <c r="BD465" s="287"/>
      <c r="BE465" s="287"/>
      <c r="BF465" s="287"/>
      <c r="BG465" s="288">
        <v>7.5</v>
      </c>
      <c r="BH465" s="287"/>
      <c r="BI465" s="287"/>
      <c r="BJ465" s="287"/>
      <c r="BK465" s="287"/>
      <c r="BL465" s="287"/>
      <c r="BM465" s="287"/>
      <c r="BN465" s="287"/>
      <c r="BO465" s="287"/>
      <c r="BP465" s="287"/>
      <c r="BQ465" s="287"/>
      <c r="BR465" s="287"/>
      <c r="BS465" s="287"/>
      <c r="BT465" s="287"/>
      <c r="BU465" s="287"/>
      <c r="BV465" s="287"/>
      <c r="BW465" s="287"/>
      <c r="BX465" s="286"/>
      <c r="BY465" s="289"/>
      <c r="BZ465" s="289"/>
      <c r="CA465" s="289"/>
      <c r="CB465" s="289"/>
      <c r="CC465" s="289"/>
      <c r="CD465" s="289"/>
      <c r="CE465" s="289">
        <v>7</v>
      </c>
      <c r="CF465" s="289"/>
      <c r="CG465" s="287"/>
      <c r="CH465" s="287"/>
      <c r="CI465" s="287"/>
      <c r="CJ465" s="287"/>
      <c r="CK465" s="287"/>
      <c r="CL465" s="287"/>
      <c r="CM465" s="287"/>
      <c r="CN465" s="287"/>
      <c r="CO465" s="287"/>
      <c r="CP465" s="287"/>
      <c r="CQ465" s="287"/>
      <c r="CR465" s="287"/>
      <c r="CS465" s="288">
        <v>7</v>
      </c>
      <c r="CT465" s="6"/>
      <c r="CU465" s="6"/>
      <c r="CV465" s="6"/>
      <c r="CW465" s="6"/>
      <c r="CX465" s="6"/>
      <c r="CY465" s="6"/>
      <c r="CZ465" s="6"/>
      <c r="DA465" s="343">
        <f t="shared" si="17"/>
        <v>5.4</v>
      </c>
    </row>
    <row r="466" spans="1:105" ht="20" customHeight="1" x14ac:dyDescent="0.35">
      <c r="A466" s="301"/>
      <c r="B466" s="270" t="s">
        <v>1697</v>
      </c>
      <c r="C466" s="270" t="s">
        <v>1693</v>
      </c>
      <c r="D466" s="270" t="s">
        <v>34</v>
      </c>
      <c r="E466" s="270" t="s">
        <v>34</v>
      </c>
      <c r="F466" s="270" t="s">
        <v>1824</v>
      </c>
      <c r="G466" s="270" t="s">
        <v>1002</v>
      </c>
      <c r="H466" s="298">
        <f>(28.8/25000*430)+(37/10000*64)+(17/6000*12)</f>
        <v>0.76616000000000006</v>
      </c>
      <c r="I466" s="286"/>
      <c r="J466" s="286"/>
      <c r="K466" s="286"/>
      <c r="L466" s="286"/>
      <c r="M466" s="286"/>
      <c r="N466" s="286"/>
      <c r="O466" s="286"/>
      <c r="P466" s="286"/>
      <c r="Q466" s="286"/>
      <c r="R466" s="286"/>
      <c r="S466" s="286"/>
      <c r="T466" s="286"/>
      <c r="U466" s="286"/>
      <c r="V466" s="286"/>
      <c r="W466" s="286"/>
      <c r="X466" s="286"/>
      <c r="Y466" s="286"/>
      <c r="Z466" s="286"/>
      <c r="AA466" s="286"/>
      <c r="AB466" s="286"/>
      <c r="AC466" s="286"/>
      <c r="AD466" s="286"/>
      <c r="AE466" s="286"/>
      <c r="AF466" s="286"/>
      <c r="AG466" s="286"/>
      <c r="AH466" s="286"/>
      <c r="AI466" s="286"/>
      <c r="AJ466" s="286"/>
      <c r="AK466" s="295"/>
      <c r="AL466" s="288"/>
      <c r="AM466" s="287"/>
      <c r="AN466" s="287"/>
      <c r="AO466" s="287"/>
      <c r="AP466" s="286"/>
      <c r="AQ466" s="296">
        <v>2.8</v>
      </c>
      <c r="AR466" s="286"/>
      <c r="AS466" s="286"/>
      <c r="AT466" s="286"/>
      <c r="AU466" s="286"/>
      <c r="AV466" s="286"/>
      <c r="AW466" s="286"/>
      <c r="AX466" s="286"/>
      <c r="AY466" s="286"/>
      <c r="AZ466" s="286"/>
      <c r="BA466" s="286"/>
      <c r="BB466" s="286"/>
      <c r="BC466" s="286"/>
      <c r="BD466" s="287"/>
      <c r="BE466" s="287"/>
      <c r="BF466" s="287"/>
      <c r="BG466" s="288"/>
      <c r="BH466" s="287"/>
      <c r="BI466" s="287"/>
      <c r="BJ466" s="287"/>
      <c r="BK466" s="287"/>
      <c r="BL466" s="287"/>
      <c r="BM466" s="287"/>
      <c r="BN466" s="287"/>
      <c r="BO466" s="287"/>
      <c r="BP466" s="287"/>
      <c r="BQ466" s="287"/>
      <c r="BR466" s="287"/>
      <c r="BS466" s="287"/>
      <c r="BT466" s="287"/>
      <c r="BU466" s="287"/>
      <c r="BV466" s="287"/>
      <c r="BW466" s="287"/>
      <c r="BX466" s="286"/>
      <c r="BY466" s="289"/>
      <c r="BZ466" s="289"/>
      <c r="CA466" s="289"/>
      <c r="CB466" s="289"/>
      <c r="CC466" s="289"/>
      <c r="CD466" s="289"/>
      <c r="CE466" s="289"/>
      <c r="CF466" s="289"/>
      <c r="CG466" s="287"/>
      <c r="CH466" s="287"/>
      <c r="CI466" s="287"/>
      <c r="CJ466" s="287"/>
      <c r="CK466" s="287"/>
      <c r="CL466" s="287"/>
      <c r="CM466" s="287"/>
      <c r="CN466" s="287"/>
      <c r="CO466" s="287"/>
      <c r="CP466" s="287"/>
      <c r="CQ466" s="287"/>
      <c r="CR466" s="287"/>
      <c r="CS466" s="288"/>
      <c r="CT466" s="6"/>
      <c r="CU466" s="6"/>
      <c r="CV466" s="6"/>
      <c r="CW466" s="6"/>
      <c r="CX466" s="6"/>
      <c r="CY466" s="6"/>
      <c r="CZ466" s="6"/>
      <c r="DA466" s="343">
        <f t="shared" si="17"/>
        <v>0.76616000000000006</v>
      </c>
    </row>
    <row r="467" spans="1:105" ht="20" customHeight="1" x14ac:dyDescent="0.35">
      <c r="A467" s="290"/>
      <c r="B467" s="270" t="s">
        <v>1003</v>
      </c>
      <c r="C467" s="270" t="s">
        <v>212</v>
      </c>
      <c r="D467" s="297" t="s">
        <v>604</v>
      </c>
      <c r="E467" s="297" t="s">
        <v>34</v>
      </c>
      <c r="F467" s="270" t="s">
        <v>62</v>
      </c>
      <c r="G467" s="270" t="s">
        <v>39</v>
      </c>
      <c r="H467" s="298">
        <v>1.1000000000000001</v>
      </c>
      <c r="I467" s="292">
        <v>1.8</v>
      </c>
      <c r="J467" s="292">
        <v>1.8</v>
      </c>
      <c r="K467" s="286"/>
      <c r="L467" s="286">
        <v>0</v>
      </c>
      <c r="M467" s="286"/>
      <c r="N467" s="286"/>
      <c r="O467" s="286"/>
      <c r="P467" s="286">
        <v>2.1</v>
      </c>
      <c r="Q467" s="286"/>
      <c r="R467" s="286"/>
      <c r="S467" s="286"/>
      <c r="T467" s="286">
        <v>1.8</v>
      </c>
      <c r="U467" s="286"/>
      <c r="V467" s="286"/>
      <c r="W467" s="286"/>
      <c r="X467" s="286"/>
      <c r="Y467" s="286"/>
      <c r="Z467" s="286"/>
      <c r="AA467" s="286"/>
      <c r="AB467" s="286"/>
      <c r="AC467" s="286"/>
      <c r="AD467" s="286"/>
      <c r="AE467" s="286"/>
      <c r="AF467" s="286"/>
      <c r="AG467" s="286"/>
      <c r="AH467" s="286"/>
      <c r="AI467" s="286"/>
      <c r="AJ467" s="286"/>
      <c r="AK467" s="295">
        <v>2</v>
      </c>
      <c r="AL467" s="288"/>
      <c r="AM467" s="287"/>
      <c r="AN467" s="287"/>
      <c r="AO467" s="287">
        <v>1.8</v>
      </c>
      <c r="AP467" s="286">
        <v>1.8</v>
      </c>
      <c r="AQ467" s="296">
        <v>2.1</v>
      </c>
      <c r="AR467" s="286">
        <v>1.8</v>
      </c>
      <c r="AS467" s="286"/>
      <c r="AT467" s="286">
        <v>1.8</v>
      </c>
      <c r="AU467" s="286">
        <v>1.8</v>
      </c>
      <c r="AV467" s="286">
        <v>1.8</v>
      </c>
      <c r="AW467" s="286">
        <v>1.8</v>
      </c>
      <c r="AX467" s="286">
        <v>1.8</v>
      </c>
      <c r="AY467" s="286">
        <v>1.8</v>
      </c>
      <c r="AZ467" s="286">
        <v>1.8</v>
      </c>
      <c r="BA467" s="286">
        <v>1.8</v>
      </c>
      <c r="BB467" s="286">
        <f>BA467</f>
        <v>1.8</v>
      </c>
      <c r="BC467" s="286">
        <v>1.8</v>
      </c>
      <c r="BD467" s="287"/>
      <c r="BE467" s="287"/>
      <c r="BF467" s="287"/>
      <c r="BG467" s="288">
        <v>2</v>
      </c>
      <c r="BH467" s="287"/>
      <c r="BI467" s="287"/>
      <c r="BJ467" s="287"/>
      <c r="BK467" s="287"/>
      <c r="BL467" s="287"/>
      <c r="BM467" s="287"/>
      <c r="BN467" s="287"/>
      <c r="BO467" s="287"/>
      <c r="BP467" s="287"/>
      <c r="BQ467" s="287"/>
      <c r="BR467" s="287"/>
      <c r="BS467" s="287"/>
      <c r="BT467" s="287"/>
      <c r="BU467" s="287"/>
      <c r="BV467" s="287"/>
      <c r="BW467" s="287"/>
      <c r="BX467" s="286">
        <f>J467</f>
        <v>1.8</v>
      </c>
      <c r="BY467" s="289"/>
      <c r="BZ467" s="289"/>
      <c r="CA467" s="289"/>
      <c r="CB467" s="289"/>
      <c r="CC467" s="289"/>
      <c r="CD467" s="289"/>
      <c r="CE467" s="289"/>
      <c r="CF467" s="289"/>
      <c r="CG467" s="287"/>
      <c r="CH467" s="287"/>
      <c r="CI467" s="287"/>
      <c r="CJ467" s="287"/>
      <c r="CK467" s="287"/>
      <c r="CL467" s="287"/>
      <c r="CM467" s="287"/>
      <c r="CN467" s="287"/>
      <c r="CO467" s="287"/>
      <c r="CP467" s="287"/>
      <c r="CQ467" s="287"/>
      <c r="CR467" s="287">
        <v>2.2000000000000002</v>
      </c>
      <c r="CS467" s="288">
        <v>1.8</v>
      </c>
      <c r="CT467" s="6"/>
      <c r="CU467" s="6"/>
      <c r="CV467" s="6"/>
      <c r="CW467" s="6"/>
      <c r="CX467" s="6"/>
      <c r="CY467" s="6"/>
      <c r="CZ467" s="6"/>
      <c r="DA467" s="343">
        <f t="shared" si="17"/>
        <v>1.1000000000000001</v>
      </c>
    </row>
    <row r="468" spans="1:105" ht="20" customHeight="1" x14ac:dyDescent="0.35">
      <c r="A468" s="290"/>
      <c r="B468" s="270" t="s">
        <v>1854</v>
      </c>
      <c r="C468" s="270" t="s">
        <v>212</v>
      </c>
      <c r="D468" s="297" t="s">
        <v>604</v>
      </c>
      <c r="E468" s="297" t="s">
        <v>34</v>
      </c>
      <c r="F468" s="270" t="s">
        <v>531</v>
      </c>
      <c r="G468" s="270" t="s">
        <v>39</v>
      </c>
      <c r="H468" s="298">
        <f>1.1*5</f>
        <v>5.5</v>
      </c>
      <c r="I468" s="292"/>
      <c r="J468" s="292">
        <v>9</v>
      </c>
      <c r="K468" s="286"/>
      <c r="L468" s="286"/>
      <c r="M468" s="286"/>
      <c r="N468" s="286"/>
      <c r="O468" s="286"/>
      <c r="P468" s="286"/>
      <c r="Q468" s="286"/>
      <c r="R468" s="286"/>
      <c r="S468" s="286"/>
      <c r="T468" s="286"/>
      <c r="U468" s="286"/>
      <c r="V468" s="286"/>
      <c r="W468" s="286"/>
      <c r="X468" s="286"/>
      <c r="Y468" s="286"/>
      <c r="Z468" s="286"/>
      <c r="AA468" s="286"/>
      <c r="AB468" s="286"/>
      <c r="AC468" s="286"/>
      <c r="AD468" s="286"/>
      <c r="AE468" s="286"/>
      <c r="AF468" s="286"/>
      <c r="AG468" s="286"/>
      <c r="AH468" s="286"/>
      <c r="AI468" s="286"/>
      <c r="AJ468" s="286"/>
      <c r="AK468" s="295"/>
      <c r="AL468" s="288">
        <v>9</v>
      </c>
      <c r="AM468" s="287"/>
      <c r="AN468" s="287"/>
      <c r="AO468" s="318"/>
      <c r="AP468" s="286"/>
      <c r="AQ468" s="296"/>
      <c r="AR468" s="286"/>
      <c r="AS468" s="286"/>
      <c r="AT468" s="286"/>
      <c r="AU468" s="286"/>
      <c r="AV468" s="286"/>
      <c r="AW468" s="286"/>
      <c r="AX468" s="286"/>
      <c r="AY468" s="286"/>
      <c r="AZ468" s="286"/>
      <c r="BA468" s="286"/>
      <c r="BB468" s="286"/>
      <c r="BC468" s="286"/>
      <c r="BD468" s="287"/>
      <c r="BE468" s="287"/>
      <c r="BF468" s="287"/>
      <c r="BG468" s="288"/>
      <c r="BH468" s="287"/>
      <c r="BI468" s="287"/>
      <c r="BJ468" s="287"/>
      <c r="BK468" s="287"/>
      <c r="BL468" s="287"/>
      <c r="BM468" s="287"/>
      <c r="BN468" s="287"/>
      <c r="BO468" s="287"/>
      <c r="BP468" s="287"/>
      <c r="BQ468" s="287"/>
      <c r="BR468" s="287"/>
      <c r="BS468" s="287"/>
      <c r="BT468" s="287"/>
      <c r="BU468" s="287"/>
      <c r="BV468" s="287"/>
      <c r="BW468" s="287"/>
      <c r="BX468" s="286"/>
      <c r="BY468" s="289"/>
      <c r="BZ468" s="289"/>
      <c r="CA468" s="289"/>
      <c r="CB468" s="289"/>
      <c r="CC468" s="289"/>
      <c r="CD468" s="289"/>
      <c r="CE468" s="289"/>
      <c r="CF468" s="289"/>
      <c r="CG468" s="287"/>
      <c r="CH468" s="287"/>
      <c r="CI468" s="287"/>
      <c r="CJ468" s="287"/>
      <c r="CK468" s="287"/>
      <c r="CL468" s="287"/>
      <c r="CM468" s="288">
        <v>9</v>
      </c>
      <c r="CN468" s="287"/>
      <c r="CO468" s="287"/>
      <c r="CP468" s="287"/>
      <c r="CQ468" s="287"/>
      <c r="CR468" s="287">
        <v>11</v>
      </c>
      <c r="CS468" s="288"/>
      <c r="CT468" s="6"/>
      <c r="CU468" s="6"/>
      <c r="CV468" s="6"/>
      <c r="CW468" s="6"/>
      <c r="CX468" s="6"/>
      <c r="CY468" s="6"/>
      <c r="CZ468" s="6"/>
      <c r="DA468" s="343">
        <f t="shared" si="17"/>
        <v>5.5</v>
      </c>
    </row>
    <row r="469" spans="1:105" ht="20" customHeight="1" x14ac:dyDescent="0.35">
      <c r="A469" s="290"/>
      <c r="B469" s="270" t="s">
        <v>1855</v>
      </c>
      <c r="C469" s="270" t="s">
        <v>212</v>
      </c>
      <c r="D469" s="297" t="s">
        <v>604</v>
      </c>
      <c r="E469" s="297" t="s">
        <v>34</v>
      </c>
      <c r="F469" s="270" t="s">
        <v>1856</v>
      </c>
      <c r="G469" s="270" t="s">
        <v>39</v>
      </c>
      <c r="H469" s="298">
        <f>1.1*2</f>
        <v>2.2000000000000002</v>
      </c>
      <c r="I469" s="292"/>
      <c r="J469" s="292">
        <v>3.6</v>
      </c>
      <c r="K469" s="286"/>
      <c r="L469" s="286"/>
      <c r="M469" s="286"/>
      <c r="N469" s="286"/>
      <c r="O469" s="286"/>
      <c r="P469" s="286"/>
      <c r="Q469" s="286"/>
      <c r="R469" s="286"/>
      <c r="S469" s="286"/>
      <c r="T469" s="286"/>
      <c r="U469" s="286"/>
      <c r="V469" s="286"/>
      <c r="W469" s="286"/>
      <c r="X469" s="286"/>
      <c r="Y469" s="286"/>
      <c r="Z469" s="286"/>
      <c r="AA469" s="286"/>
      <c r="AB469" s="286"/>
      <c r="AC469" s="286"/>
      <c r="AD469" s="286"/>
      <c r="AE469" s="286"/>
      <c r="AF469" s="286"/>
      <c r="AG469" s="286"/>
      <c r="AH469" s="286"/>
      <c r="AI469" s="286"/>
      <c r="AJ469" s="286"/>
      <c r="AK469" s="295"/>
      <c r="AL469" s="288"/>
      <c r="AM469" s="287"/>
      <c r="AN469" s="287"/>
      <c r="AO469" s="287"/>
      <c r="AP469" s="286"/>
      <c r="AQ469" s="296"/>
      <c r="AR469" s="286"/>
      <c r="AS469" s="286"/>
      <c r="AT469" s="286"/>
      <c r="AU469" s="286"/>
      <c r="AV469" s="286"/>
      <c r="AW469" s="286"/>
      <c r="AX469" s="286"/>
      <c r="AY469" s="286"/>
      <c r="AZ469" s="286">
        <v>3.6</v>
      </c>
      <c r="BA469" s="286"/>
      <c r="BB469" s="286"/>
      <c r="BC469" s="286"/>
      <c r="BD469" s="287"/>
      <c r="BE469" s="287"/>
      <c r="BF469" s="287"/>
      <c r="BG469" s="288"/>
      <c r="BH469" s="287"/>
      <c r="BI469" s="287"/>
      <c r="BJ469" s="287"/>
      <c r="BK469" s="287"/>
      <c r="BL469" s="287"/>
      <c r="BM469" s="287"/>
      <c r="BN469" s="287"/>
      <c r="BO469" s="287"/>
      <c r="BP469" s="287"/>
      <c r="BQ469" s="287"/>
      <c r="BR469" s="287"/>
      <c r="BS469" s="287"/>
      <c r="BT469" s="287"/>
      <c r="BU469" s="287"/>
      <c r="BV469" s="287"/>
      <c r="BW469" s="287"/>
      <c r="BX469" s="286"/>
      <c r="BY469" s="289"/>
      <c r="BZ469" s="289"/>
      <c r="CA469" s="289"/>
      <c r="CB469" s="289"/>
      <c r="CC469" s="289"/>
      <c r="CD469" s="289"/>
      <c r="CE469" s="289"/>
      <c r="CF469" s="289"/>
      <c r="CG469" s="287"/>
      <c r="CH469" s="287"/>
      <c r="CI469" s="287"/>
      <c r="CJ469" s="287"/>
      <c r="CK469" s="287"/>
      <c r="CL469" s="287"/>
      <c r="CM469" s="287"/>
      <c r="CN469" s="287"/>
      <c r="CO469" s="292">
        <v>3.6</v>
      </c>
      <c r="CP469" s="287"/>
      <c r="CQ469" s="287"/>
      <c r="CR469" s="287"/>
      <c r="CS469" s="288"/>
      <c r="CT469" s="6"/>
      <c r="CU469" s="6"/>
      <c r="CV469" s="6"/>
      <c r="CW469" s="6"/>
      <c r="CX469" s="6"/>
      <c r="CY469" s="6"/>
      <c r="CZ469" s="6"/>
      <c r="DA469" s="343">
        <f t="shared" si="17"/>
        <v>2.2000000000000002</v>
      </c>
    </row>
    <row r="470" spans="1:105" ht="20" customHeight="1" x14ac:dyDescent="0.35">
      <c r="A470" s="290"/>
      <c r="B470" s="270" t="s">
        <v>1904</v>
      </c>
      <c r="C470" s="270" t="s">
        <v>212</v>
      </c>
      <c r="D470" s="297" t="s">
        <v>604</v>
      </c>
      <c r="E470" s="297" t="s">
        <v>34</v>
      </c>
      <c r="F470" s="270" t="s">
        <v>556</v>
      </c>
      <c r="G470" s="270" t="s">
        <v>39</v>
      </c>
      <c r="H470" s="298">
        <v>3.3</v>
      </c>
      <c r="I470" s="292"/>
      <c r="J470" s="352">
        <v>5.4</v>
      </c>
      <c r="K470" s="286"/>
      <c r="L470" s="286"/>
      <c r="M470" s="286"/>
      <c r="N470" s="286"/>
      <c r="O470" s="286"/>
      <c r="P470" s="286"/>
      <c r="Q470" s="286"/>
      <c r="R470" s="286"/>
      <c r="S470" s="286"/>
      <c r="T470" s="286"/>
      <c r="U470" s="286"/>
      <c r="V470" s="286"/>
      <c r="W470" s="286"/>
      <c r="X470" s="286"/>
      <c r="Y470" s="286"/>
      <c r="Z470" s="286"/>
      <c r="AA470" s="286"/>
      <c r="AB470" s="286"/>
      <c r="AC470" s="286"/>
      <c r="AD470" s="286"/>
      <c r="AE470" s="286"/>
      <c r="AF470" s="286"/>
      <c r="AG470" s="286"/>
      <c r="AH470" s="286"/>
      <c r="AI470" s="286"/>
      <c r="AJ470" s="286"/>
      <c r="AK470" s="295"/>
      <c r="AL470" s="288"/>
      <c r="AM470" s="287"/>
      <c r="AN470" s="287"/>
      <c r="AO470" s="287"/>
      <c r="AP470" s="286"/>
      <c r="AQ470" s="296"/>
      <c r="AR470" s="286"/>
      <c r="AS470" s="286"/>
      <c r="AT470" s="286"/>
      <c r="AU470" s="286"/>
      <c r="AV470" s="286"/>
      <c r="AW470" s="286"/>
      <c r="AX470" s="286"/>
      <c r="AY470" s="286"/>
      <c r="AZ470" s="286"/>
      <c r="BA470" s="286"/>
      <c r="BB470" s="286"/>
      <c r="BC470" s="286"/>
      <c r="BD470" s="287"/>
      <c r="BE470" s="287"/>
      <c r="BF470" s="287"/>
      <c r="BG470" s="288"/>
      <c r="BH470" s="287">
        <v>5.4</v>
      </c>
      <c r="BI470" s="287"/>
      <c r="BJ470" s="287"/>
      <c r="BK470" s="287"/>
      <c r="BL470" s="287"/>
      <c r="BM470" s="287"/>
      <c r="BN470" s="287"/>
      <c r="BO470" s="287"/>
      <c r="BP470" s="287"/>
      <c r="BQ470" s="287"/>
      <c r="BR470" s="287"/>
      <c r="BS470" s="287"/>
      <c r="BT470" s="287"/>
      <c r="BU470" s="287"/>
      <c r="BV470" s="287"/>
      <c r="BW470" s="287"/>
      <c r="BX470" s="286"/>
      <c r="BY470" s="289"/>
      <c r="BZ470" s="289"/>
      <c r="CA470" s="289"/>
      <c r="CB470" s="289"/>
      <c r="CC470" s="289"/>
      <c r="CD470" s="289"/>
      <c r="CE470" s="289"/>
      <c r="CF470" s="289"/>
      <c r="CG470" s="287"/>
      <c r="CH470" s="287"/>
      <c r="CI470" s="287"/>
      <c r="CJ470" s="287"/>
      <c r="CK470" s="287"/>
      <c r="CL470" s="287"/>
      <c r="CM470" s="287"/>
      <c r="CN470" s="287"/>
      <c r="CO470" s="287"/>
      <c r="CP470" s="287"/>
      <c r="CQ470" s="287"/>
      <c r="CR470" s="287">
        <v>4</v>
      </c>
      <c r="CS470" s="288"/>
      <c r="CT470" s="6"/>
      <c r="CU470" s="6"/>
      <c r="CV470" s="6"/>
      <c r="CW470" s="6"/>
      <c r="CX470" s="6"/>
      <c r="CY470" s="6"/>
      <c r="CZ470" s="6"/>
      <c r="DA470" s="343">
        <f t="shared" si="17"/>
        <v>3.3</v>
      </c>
    </row>
    <row r="471" spans="1:105" ht="20" customHeight="1" x14ac:dyDescent="0.35">
      <c r="A471" s="290" t="s">
        <v>63</v>
      </c>
      <c r="B471" s="270" t="s">
        <v>1004</v>
      </c>
      <c r="C471" s="270" t="s">
        <v>242</v>
      </c>
      <c r="D471" s="297" t="s">
        <v>604</v>
      </c>
      <c r="E471" s="297" t="s">
        <v>34</v>
      </c>
      <c r="F471" s="270" t="s">
        <v>62</v>
      </c>
      <c r="G471" s="270" t="s">
        <v>39</v>
      </c>
      <c r="H471" s="298">
        <f>(1.6+1.75)/2</f>
        <v>1.675</v>
      </c>
      <c r="I471" s="300">
        <v>2.4</v>
      </c>
      <c r="J471" s="292">
        <v>2.5</v>
      </c>
      <c r="K471" s="286"/>
      <c r="L471" s="286"/>
      <c r="M471" s="286"/>
      <c r="N471" s="292">
        <v>2.7</v>
      </c>
      <c r="O471" s="286">
        <v>2.8</v>
      </c>
      <c r="P471" s="292">
        <v>2.7</v>
      </c>
      <c r="Q471" s="286"/>
      <c r="R471" s="286"/>
      <c r="S471" s="286"/>
      <c r="T471" s="286">
        <v>2.5</v>
      </c>
      <c r="U471" s="286"/>
      <c r="V471" s="294"/>
      <c r="W471" s="286"/>
      <c r="X471" s="286"/>
      <c r="Y471" s="286"/>
      <c r="Z471" s="286"/>
      <c r="AA471" s="286"/>
      <c r="AB471" s="286"/>
      <c r="AC471" s="286">
        <v>2.5</v>
      </c>
      <c r="AD471" s="286"/>
      <c r="AE471" s="286"/>
      <c r="AF471" s="286"/>
      <c r="AG471" s="286"/>
      <c r="AH471" s="286"/>
      <c r="AI471" s="286"/>
      <c r="AJ471" s="286">
        <v>2.5</v>
      </c>
      <c r="AK471" s="295">
        <v>2.7</v>
      </c>
      <c r="AL471" s="288"/>
      <c r="AM471" s="287">
        <v>2.8</v>
      </c>
      <c r="AN471" s="287"/>
      <c r="AO471" s="287"/>
      <c r="AP471" s="286">
        <v>2.5</v>
      </c>
      <c r="AQ471" s="296">
        <v>2.6</v>
      </c>
      <c r="AR471" s="286">
        <v>2.5</v>
      </c>
      <c r="AS471" s="286">
        <v>2.5</v>
      </c>
      <c r="AT471" s="286">
        <v>2.5</v>
      </c>
      <c r="AU471" s="286">
        <v>2.5</v>
      </c>
      <c r="AV471" s="286">
        <v>2.5</v>
      </c>
      <c r="AW471" s="286">
        <v>2.5</v>
      </c>
      <c r="AX471" s="286">
        <v>2.5</v>
      </c>
      <c r="AY471" s="286">
        <v>2.5</v>
      </c>
      <c r="AZ471" s="286">
        <v>2.5</v>
      </c>
      <c r="BA471" s="286">
        <v>2.5</v>
      </c>
      <c r="BB471" s="286">
        <v>2.5</v>
      </c>
      <c r="BC471" s="286">
        <v>2.5</v>
      </c>
      <c r="BD471" s="286">
        <v>2.5</v>
      </c>
      <c r="BE471" s="287"/>
      <c r="BF471" s="287"/>
      <c r="BG471" s="287">
        <v>2.5</v>
      </c>
      <c r="BH471" s="288"/>
      <c r="BI471" s="287"/>
      <c r="BJ471" s="287"/>
      <c r="BK471" s="287"/>
      <c r="BL471" s="287"/>
      <c r="BM471" s="287"/>
      <c r="BN471" s="287"/>
      <c r="BO471" s="287"/>
      <c r="BP471" s="287"/>
      <c r="BQ471" s="287"/>
      <c r="BR471" s="287"/>
      <c r="BS471" s="287"/>
      <c r="BT471" s="287"/>
      <c r="BU471" s="287"/>
      <c r="BV471" s="287"/>
      <c r="BW471" s="287"/>
      <c r="BX471" s="286"/>
      <c r="BY471" s="289"/>
      <c r="BZ471" s="289">
        <v>2.6</v>
      </c>
      <c r="CA471" s="289"/>
      <c r="CB471" s="289"/>
      <c r="CC471" s="289"/>
      <c r="CD471" s="289">
        <v>2.8</v>
      </c>
      <c r="CE471" s="289"/>
      <c r="CF471" s="289"/>
      <c r="CG471" s="287"/>
      <c r="CH471" s="287"/>
      <c r="CI471" s="287"/>
      <c r="CJ471" s="287"/>
      <c r="CK471" s="287"/>
      <c r="CL471" s="287">
        <v>2.8</v>
      </c>
      <c r="CM471" s="292">
        <v>2.5</v>
      </c>
      <c r="CN471" s="287"/>
      <c r="CO471" s="287"/>
      <c r="CP471" s="287"/>
      <c r="CQ471" s="287"/>
      <c r="CR471" s="287"/>
      <c r="CS471" s="288">
        <v>2.2000000000000002</v>
      </c>
      <c r="CT471" s="6"/>
      <c r="CU471" s="6"/>
      <c r="CV471" s="6"/>
      <c r="CW471" s="6"/>
      <c r="CX471" s="6"/>
      <c r="CY471" s="6"/>
      <c r="CZ471" s="6"/>
      <c r="DA471" s="343">
        <f t="shared" si="17"/>
        <v>1.675</v>
      </c>
    </row>
    <row r="472" spans="1:105" ht="20" customHeight="1" x14ac:dyDescent="0.35">
      <c r="A472" s="290">
        <v>520733</v>
      </c>
      <c r="B472" s="270" t="s">
        <v>1500</v>
      </c>
      <c r="C472" s="270" t="s">
        <v>1950</v>
      </c>
      <c r="D472" s="297" t="s">
        <v>604</v>
      </c>
      <c r="E472" s="297" t="s">
        <v>604</v>
      </c>
      <c r="F472" s="270" t="s">
        <v>613</v>
      </c>
      <c r="G472" s="270" t="s">
        <v>39</v>
      </c>
      <c r="H472" s="298">
        <f>1.8*5</f>
        <v>9</v>
      </c>
      <c r="I472" s="300">
        <v>18</v>
      </c>
      <c r="J472" s="286"/>
      <c r="K472" s="286"/>
      <c r="L472" s="286"/>
      <c r="M472" s="286"/>
      <c r="N472" s="292">
        <v>2.5</v>
      </c>
      <c r="O472" s="286">
        <v>2.5</v>
      </c>
      <c r="P472" s="292"/>
      <c r="Q472" s="286"/>
      <c r="R472" s="286"/>
      <c r="S472" s="286"/>
      <c r="T472" s="286"/>
      <c r="U472" s="286"/>
      <c r="V472" s="294"/>
      <c r="W472" s="286"/>
      <c r="X472" s="286"/>
      <c r="Y472" s="286"/>
      <c r="Z472" s="286"/>
      <c r="AA472" s="286"/>
      <c r="AB472" s="286"/>
      <c r="AC472" s="286"/>
      <c r="AD472" s="286"/>
      <c r="AE472" s="286"/>
      <c r="AF472" s="286"/>
      <c r="AG472" s="286"/>
      <c r="AH472" s="286"/>
      <c r="AI472" s="286"/>
      <c r="AJ472" s="286">
        <v>2.5</v>
      </c>
      <c r="AK472" s="295">
        <v>2.5</v>
      </c>
      <c r="AL472" s="288"/>
      <c r="AM472" s="287">
        <v>2.6</v>
      </c>
      <c r="AN472" s="287"/>
      <c r="AO472" s="287"/>
      <c r="AP472" s="286">
        <v>2.5</v>
      </c>
      <c r="AQ472" s="296"/>
      <c r="AR472" s="286">
        <v>2.5</v>
      </c>
      <c r="AS472" s="286">
        <v>2.5</v>
      </c>
      <c r="AT472" s="286">
        <v>2.5</v>
      </c>
      <c r="AU472" s="286"/>
      <c r="AV472" s="286">
        <v>2.5</v>
      </c>
      <c r="AW472" s="286">
        <v>2.5</v>
      </c>
      <c r="AX472" s="286">
        <v>2.5</v>
      </c>
      <c r="AY472" s="286">
        <v>2.5</v>
      </c>
      <c r="AZ472" s="286">
        <v>2.5</v>
      </c>
      <c r="BA472" s="286">
        <v>2.5</v>
      </c>
      <c r="BB472" s="286">
        <v>2.5</v>
      </c>
      <c r="BC472" s="286">
        <v>2.5</v>
      </c>
      <c r="BD472" s="286">
        <v>2.5</v>
      </c>
      <c r="BE472" s="287"/>
      <c r="BF472" s="287"/>
      <c r="BG472" s="287">
        <v>2.5</v>
      </c>
      <c r="BH472" s="288"/>
      <c r="BI472" s="287"/>
      <c r="BJ472" s="287"/>
      <c r="BK472" s="287"/>
      <c r="BL472" s="287"/>
      <c r="BM472" s="287"/>
      <c r="BN472" s="287"/>
      <c r="BO472" s="287"/>
      <c r="BP472" s="287"/>
      <c r="BQ472" s="287"/>
      <c r="BR472" s="287"/>
      <c r="BS472" s="287"/>
      <c r="BT472" s="287"/>
      <c r="BU472" s="287"/>
      <c r="BV472" s="287"/>
      <c r="BW472" s="287"/>
      <c r="BX472" s="286">
        <v>2.5</v>
      </c>
      <c r="BY472" s="289"/>
      <c r="BZ472" s="289">
        <v>2.6</v>
      </c>
      <c r="CA472" s="289"/>
      <c r="CB472" s="289"/>
      <c r="CC472" s="289"/>
      <c r="CD472" s="289">
        <v>2.5</v>
      </c>
      <c r="CE472" s="289"/>
      <c r="CF472" s="289"/>
      <c r="CG472" s="287"/>
      <c r="CH472" s="287"/>
      <c r="CI472" s="287"/>
      <c r="CJ472" s="287"/>
      <c r="CK472" s="287"/>
      <c r="CL472" s="287"/>
      <c r="CM472" s="287"/>
      <c r="CN472" s="287"/>
      <c r="CO472" s="287"/>
      <c r="CP472" s="287"/>
      <c r="CQ472" s="287">
        <v>17.5</v>
      </c>
      <c r="CR472" s="287"/>
      <c r="CS472" s="328"/>
      <c r="CT472" s="6"/>
      <c r="CU472" s="6"/>
      <c r="CV472" s="6"/>
      <c r="CW472" s="6"/>
      <c r="CX472" s="6"/>
      <c r="CY472" s="6"/>
      <c r="CZ472" s="6"/>
      <c r="DA472" s="343">
        <f t="shared" si="17"/>
        <v>9</v>
      </c>
    </row>
    <row r="473" spans="1:105" ht="20" customHeight="1" x14ac:dyDescent="0.35">
      <c r="A473" s="290" t="s">
        <v>2071</v>
      </c>
      <c r="B473" s="270" t="s">
        <v>1500</v>
      </c>
      <c r="C473" s="270" t="s">
        <v>1950</v>
      </c>
      <c r="D473" s="297" t="s">
        <v>604</v>
      </c>
      <c r="E473" s="297" t="s">
        <v>604</v>
      </c>
      <c r="F473" s="270" t="s">
        <v>613</v>
      </c>
      <c r="G473" s="270" t="s">
        <v>39</v>
      </c>
      <c r="H473" s="298">
        <f>1.8*5</f>
        <v>9</v>
      </c>
      <c r="I473" s="292"/>
      <c r="J473" s="286"/>
      <c r="K473" s="286"/>
      <c r="L473" s="286"/>
      <c r="M473" s="286"/>
      <c r="N473" s="292"/>
      <c r="O473" s="286"/>
      <c r="P473" s="292"/>
      <c r="Q473" s="286"/>
      <c r="R473" s="286"/>
      <c r="S473" s="286"/>
      <c r="T473" s="286"/>
      <c r="U473" s="286"/>
      <c r="V473" s="294"/>
      <c r="W473" s="286"/>
      <c r="X473" s="286"/>
      <c r="Y473" s="286"/>
      <c r="Z473" s="286"/>
      <c r="AA473" s="286"/>
      <c r="AB473" s="286"/>
      <c r="AC473" s="286"/>
      <c r="AD473" s="286"/>
      <c r="AE473" s="286"/>
      <c r="AF473" s="286"/>
      <c r="AG473" s="286"/>
      <c r="AH473" s="286"/>
      <c r="AI473" s="286"/>
      <c r="AJ473" s="286"/>
      <c r="AK473" s="295"/>
      <c r="AL473" s="288"/>
      <c r="AM473" s="287"/>
      <c r="AN473" s="287"/>
      <c r="AO473" s="287"/>
      <c r="AP473" s="286"/>
      <c r="AQ473" s="296"/>
      <c r="AR473" s="286"/>
      <c r="AS473" s="286"/>
      <c r="AT473" s="286"/>
      <c r="AU473" s="286"/>
      <c r="AV473" s="286"/>
      <c r="AW473" s="286"/>
      <c r="AX473" s="286"/>
      <c r="AY473" s="286"/>
      <c r="AZ473" s="286"/>
      <c r="BA473" s="286"/>
      <c r="BB473" s="286"/>
      <c r="BC473" s="286"/>
      <c r="BD473" s="286"/>
      <c r="BE473" s="287"/>
      <c r="BF473" s="287"/>
      <c r="BG473" s="287"/>
      <c r="BH473" s="288"/>
      <c r="BI473" s="287"/>
      <c r="BJ473" s="287"/>
      <c r="BK473" s="287"/>
      <c r="BL473" s="287"/>
      <c r="BM473" s="287"/>
      <c r="BN473" s="287"/>
      <c r="BO473" s="287"/>
      <c r="BP473" s="287"/>
      <c r="BQ473" s="287"/>
      <c r="BR473" s="287"/>
      <c r="BS473" s="287"/>
      <c r="BT473" s="287"/>
      <c r="BU473" s="287"/>
      <c r="BV473" s="287"/>
      <c r="BW473" s="287"/>
      <c r="BX473" s="286"/>
      <c r="BY473" s="289"/>
      <c r="BZ473" s="289"/>
      <c r="CA473" s="289"/>
      <c r="CB473" s="289"/>
      <c r="CC473" s="289"/>
      <c r="CD473" s="289"/>
      <c r="CE473" s="289"/>
      <c r="CF473" s="289"/>
      <c r="CG473" s="287"/>
      <c r="CH473" s="287"/>
      <c r="CI473" s="287"/>
      <c r="CJ473" s="287"/>
      <c r="CK473" s="287"/>
      <c r="CL473" s="287"/>
      <c r="CM473" s="287"/>
      <c r="CN473" s="287"/>
      <c r="CO473" s="287"/>
      <c r="CP473" s="287"/>
      <c r="CQ473" s="287">
        <v>17.5</v>
      </c>
      <c r="CR473" s="287"/>
      <c r="CS473" s="328"/>
      <c r="CT473" s="6"/>
      <c r="CU473" s="6"/>
      <c r="CV473" s="6"/>
      <c r="CW473" s="6"/>
      <c r="CX473" s="6"/>
      <c r="CY473" s="6"/>
      <c r="CZ473" s="6"/>
      <c r="DA473" s="343">
        <f>H473</f>
        <v>9</v>
      </c>
    </row>
    <row r="474" spans="1:105" ht="20" customHeight="1" x14ac:dyDescent="0.35">
      <c r="A474" s="290"/>
      <c r="B474" s="270" t="s">
        <v>1735</v>
      </c>
      <c r="C474" s="270" t="s">
        <v>1736</v>
      </c>
      <c r="D474" s="297" t="s">
        <v>604</v>
      </c>
      <c r="E474" s="297" t="s">
        <v>34</v>
      </c>
      <c r="F474" s="270" t="s">
        <v>1048</v>
      </c>
      <c r="G474" s="270" t="s">
        <v>1644</v>
      </c>
      <c r="H474" s="298">
        <f>1.65*2</f>
        <v>3.3</v>
      </c>
      <c r="I474" s="292"/>
      <c r="J474" s="286"/>
      <c r="K474" s="286"/>
      <c r="L474" s="286"/>
      <c r="M474" s="286"/>
      <c r="N474" s="292"/>
      <c r="O474" s="286"/>
      <c r="P474" s="292"/>
      <c r="Q474" s="286"/>
      <c r="R474" s="286"/>
      <c r="S474" s="286"/>
      <c r="T474" s="286"/>
      <c r="U474" s="286"/>
      <c r="V474" s="294"/>
      <c r="W474" s="286"/>
      <c r="X474" s="286"/>
      <c r="Y474" s="286"/>
      <c r="Z474" s="286"/>
      <c r="AA474" s="286"/>
      <c r="AB474" s="286"/>
      <c r="AC474" s="286"/>
      <c r="AD474" s="286"/>
      <c r="AE474" s="286"/>
      <c r="AF474" s="286"/>
      <c r="AG474" s="286"/>
      <c r="AH474" s="286"/>
      <c r="AI474" s="286"/>
      <c r="AJ474" s="286"/>
      <c r="AK474" s="295"/>
      <c r="AL474" s="288"/>
      <c r="AM474" s="287"/>
      <c r="AN474" s="287"/>
      <c r="AO474" s="287"/>
      <c r="AP474" s="286"/>
      <c r="AQ474" s="296">
        <f>3.8*2</f>
        <v>7.6</v>
      </c>
      <c r="AR474" s="286"/>
      <c r="AS474" s="286"/>
      <c r="AT474" s="286"/>
      <c r="AU474" s="286"/>
      <c r="AV474" s="286"/>
      <c r="AW474" s="286"/>
      <c r="AX474" s="286"/>
      <c r="AY474" s="286"/>
      <c r="AZ474" s="286"/>
      <c r="BA474" s="286"/>
      <c r="BB474" s="286"/>
      <c r="BC474" s="286"/>
      <c r="BD474" s="286"/>
      <c r="BE474" s="287"/>
      <c r="BF474" s="287"/>
      <c r="BG474" s="287"/>
      <c r="BH474" s="288"/>
      <c r="BI474" s="287"/>
      <c r="BJ474" s="287"/>
      <c r="BK474" s="287"/>
      <c r="BL474" s="287"/>
      <c r="BM474" s="287"/>
      <c r="BN474" s="287"/>
      <c r="BO474" s="287"/>
      <c r="BP474" s="287"/>
      <c r="BQ474" s="287"/>
      <c r="BR474" s="287"/>
      <c r="BS474" s="287"/>
      <c r="BT474" s="287"/>
      <c r="BU474" s="287"/>
      <c r="BV474" s="287"/>
      <c r="BW474" s="287"/>
      <c r="BX474" s="286"/>
      <c r="BY474" s="289"/>
      <c r="BZ474" s="289"/>
      <c r="CA474" s="289"/>
      <c r="CB474" s="289"/>
      <c r="CC474" s="289"/>
      <c r="CD474" s="289"/>
      <c r="CE474" s="289"/>
      <c r="CF474" s="289"/>
      <c r="CG474" s="287"/>
      <c r="CH474" s="287"/>
      <c r="CI474" s="287"/>
      <c r="CJ474" s="287"/>
      <c r="CK474" s="287"/>
      <c r="CL474" s="287"/>
      <c r="CM474" s="287"/>
      <c r="CN474" s="287"/>
      <c r="CO474" s="287"/>
      <c r="CP474" s="287"/>
      <c r="CQ474" s="287"/>
      <c r="CR474" s="287"/>
      <c r="CS474" s="328"/>
      <c r="CT474" s="6"/>
      <c r="CU474" s="6"/>
      <c r="CV474" s="6"/>
      <c r="CW474" s="6"/>
      <c r="CX474" s="6"/>
      <c r="CY474" s="6"/>
      <c r="CZ474" s="6"/>
      <c r="DA474" s="343">
        <f t="shared" si="17"/>
        <v>3.3</v>
      </c>
    </row>
    <row r="475" spans="1:105" ht="20" customHeight="1" x14ac:dyDescent="0.35">
      <c r="A475" s="290"/>
      <c r="B475" s="270" t="s">
        <v>2027</v>
      </c>
      <c r="C475" s="270" t="s">
        <v>1950</v>
      </c>
      <c r="D475" s="297" t="s">
        <v>604</v>
      </c>
      <c r="E475" s="297" t="s">
        <v>604</v>
      </c>
      <c r="F475" s="270" t="s">
        <v>62</v>
      </c>
      <c r="G475" s="270" t="s">
        <v>39</v>
      </c>
      <c r="H475" s="298">
        <f>1.8</f>
        <v>1.8</v>
      </c>
      <c r="I475" s="292"/>
      <c r="J475" s="286"/>
      <c r="K475" s="286"/>
      <c r="L475" s="286"/>
      <c r="M475" s="286"/>
      <c r="N475" s="292"/>
      <c r="O475" s="286"/>
      <c r="P475" s="292"/>
      <c r="Q475" s="286"/>
      <c r="R475" s="286"/>
      <c r="S475" s="286"/>
      <c r="T475" s="286"/>
      <c r="U475" s="286"/>
      <c r="V475" s="294"/>
      <c r="W475" s="286"/>
      <c r="X475" s="286"/>
      <c r="Y475" s="286"/>
      <c r="Z475" s="286"/>
      <c r="AA475" s="286"/>
      <c r="AB475" s="286"/>
      <c r="AC475" s="286"/>
      <c r="AD475" s="286"/>
      <c r="AE475" s="286"/>
      <c r="AF475" s="286"/>
      <c r="AG475" s="286"/>
      <c r="AH475" s="286"/>
      <c r="AI475" s="286"/>
      <c r="AJ475" s="286"/>
      <c r="AK475" s="295"/>
      <c r="AL475" s="288"/>
      <c r="AM475" s="287"/>
      <c r="AN475" s="287"/>
      <c r="AO475" s="287"/>
      <c r="AP475" s="286"/>
      <c r="AQ475" s="296">
        <v>3.4</v>
      </c>
      <c r="AR475" s="286"/>
      <c r="AS475" s="286"/>
      <c r="AT475" s="286"/>
      <c r="AU475" s="286"/>
      <c r="AV475" s="286"/>
      <c r="AW475" s="286"/>
      <c r="AX475" s="286"/>
      <c r="AY475" s="286"/>
      <c r="AZ475" s="286"/>
      <c r="BA475" s="286"/>
      <c r="BB475" s="286"/>
      <c r="BC475" s="286"/>
      <c r="BD475" s="286"/>
      <c r="BE475" s="287"/>
      <c r="BF475" s="287"/>
      <c r="BG475" s="287"/>
      <c r="BH475" s="288"/>
      <c r="BI475" s="287"/>
      <c r="BJ475" s="287"/>
      <c r="BK475" s="287"/>
      <c r="BL475" s="287"/>
      <c r="BM475" s="287"/>
      <c r="BN475" s="287"/>
      <c r="BO475" s="287"/>
      <c r="BP475" s="287"/>
      <c r="BQ475" s="287"/>
      <c r="BR475" s="287"/>
      <c r="BS475" s="287"/>
      <c r="BT475" s="287"/>
      <c r="BU475" s="287"/>
      <c r="BV475" s="287"/>
      <c r="BW475" s="287"/>
      <c r="BX475" s="286"/>
      <c r="BY475" s="289"/>
      <c r="BZ475" s="289"/>
      <c r="CA475" s="289"/>
      <c r="CB475" s="289"/>
      <c r="CC475" s="289"/>
      <c r="CD475" s="289"/>
      <c r="CE475" s="289"/>
      <c r="CF475" s="289"/>
      <c r="CG475" s="287"/>
      <c r="CH475" s="287"/>
      <c r="CI475" s="287"/>
      <c r="CJ475" s="287"/>
      <c r="CK475" s="287"/>
      <c r="CL475" s="287"/>
      <c r="CM475" s="287"/>
      <c r="CN475" s="287"/>
      <c r="CO475" s="287"/>
      <c r="CP475" s="287"/>
      <c r="CQ475" s="287"/>
      <c r="CR475" s="287">
        <v>3.8</v>
      </c>
      <c r="CS475" s="328"/>
      <c r="CT475" s="6"/>
      <c r="CU475" s="6"/>
      <c r="CV475" s="6"/>
      <c r="CW475" s="6"/>
      <c r="CX475" s="6"/>
      <c r="CY475" s="6"/>
      <c r="CZ475" s="6"/>
      <c r="DA475" s="343">
        <f>H475</f>
        <v>1.8</v>
      </c>
    </row>
    <row r="476" spans="1:105" ht="20" customHeight="1" x14ac:dyDescent="0.35">
      <c r="A476" s="301"/>
      <c r="B476" s="270" t="s">
        <v>1005</v>
      </c>
      <c r="C476" s="270" t="s">
        <v>1951</v>
      </c>
      <c r="D476" s="297" t="s">
        <v>604</v>
      </c>
      <c r="E476" s="297" t="s">
        <v>604</v>
      </c>
      <c r="F476" s="270" t="s">
        <v>62</v>
      </c>
      <c r="G476" s="270" t="s">
        <v>39</v>
      </c>
      <c r="H476" s="298"/>
      <c r="I476" s="292"/>
      <c r="J476" s="286"/>
      <c r="K476" s="286"/>
      <c r="L476" s="286"/>
      <c r="M476" s="286"/>
      <c r="N476" s="286"/>
      <c r="O476" s="286"/>
      <c r="P476" s="286"/>
      <c r="Q476" s="286"/>
      <c r="R476" s="286"/>
      <c r="S476" s="286"/>
      <c r="T476" s="286"/>
      <c r="U476" s="286"/>
      <c r="V476" s="294"/>
      <c r="W476" s="286"/>
      <c r="X476" s="286"/>
      <c r="Y476" s="286"/>
      <c r="Z476" s="286"/>
      <c r="AA476" s="286"/>
      <c r="AB476" s="286"/>
      <c r="AC476" s="286"/>
      <c r="AD476" s="286"/>
      <c r="AE476" s="286"/>
      <c r="AF476" s="286"/>
      <c r="AG476" s="286"/>
      <c r="AH476" s="286"/>
      <c r="AI476" s="286"/>
      <c r="AJ476" s="286"/>
      <c r="AK476" s="287"/>
      <c r="AL476" s="288"/>
      <c r="AM476" s="287"/>
      <c r="AN476" s="287"/>
      <c r="AO476" s="287"/>
      <c r="AP476" s="286"/>
      <c r="AQ476" s="296"/>
      <c r="AR476" s="286"/>
      <c r="AS476" s="286"/>
      <c r="AT476" s="286"/>
      <c r="AU476" s="286"/>
      <c r="AV476" s="286"/>
      <c r="AW476" s="286"/>
      <c r="AX476" s="286"/>
      <c r="AY476" s="286"/>
      <c r="AZ476" s="286"/>
      <c r="BA476" s="286"/>
      <c r="BB476" s="286"/>
      <c r="BC476" s="286"/>
      <c r="BD476" s="287"/>
      <c r="BE476" s="287"/>
      <c r="BF476" s="287"/>
      <c r="BG476" s="287"/>
      <c r="BH476" s="287"/>
      <c r="BI476" s="287"/>
      <c r="BJ476" s="287"/>
      <c r="BK476" s="287"/>
      <c r="BL476" s="287"/>
      <c r="BM476" s="287"/>
      <c r="BN476" s="287"/>
      <c r="BO476" s="287"/>
      <c r="BP476" s="287"/>
      <c r="BQ476" s="287"/>
      <c r="BR476" s="287"/>
      <c r="BS476" s="287"/>
      <c r="BT476" s="287"/>
      <c r="BU476" s="287"/>
      <c r="BV476" s="287"/>
      <c r="BW476" s="287"/>
      <c r="BX476" s="286"/>
      <c r="BY476" s="289"/>
      <c r="BZ476" s="289"/>
      <c r="CA476" s="289"/>
      <c r="CB476" s="289"/>
      <c r="CC476" s="289"/>
      <c r="CD476" s="289"/>
      <c r="CE476" s="289"/>
      <c r="CF476" s="289"/>
      <c r="CG476" s="287"/>
      <c r="CH476" s="287"/>
      <c r="CI476" s="287"/>
      <c r="CJ476" s="287"/>
      <c r="CK476" s="287"/>
      <c r="CL476" s="287"/>
      <c r="CM476" s="287"/>
      <c r="CN476" s="287"/>
      <c r="CO476" s="287"/>
      <c r="CP476" s="287"/>
      <c r="CQ476" s="287"/>
      <c r="CR476" s="287"/>
      <c r="CS476" s="6"/>
      <c r="CT476" s="6"/>
      <c r="CU476" s="6"/>
      <c r="CV476" s="6"/>
      <c r="CW476" s="6"/>
      <c r="CX476" s="6"/>
      <c r="CY476" s="6"/>
      <c r="CZ476" s="6"/>
      <c r="DA476" s="343">
        <f>H476</f>
        <v>0</v>
      </c>
    </row>
    <row r="477" spans="1:105" ht="20" customHeight="1" x14ac:dyDescent="0.35">
      <c r="A477" s="290"/>
      <c r="B477" s="270" t="s">
        <v>1006</v>
      </c>
      <c r="C477" s="270" t="s">
        <v>243</v>
      </c>
      <c r="D477" s="297" t="s">
        <v>632</v>
      </c>
      <c r="E477" s="297" t="s">
        <v>632</v>
      </c>
      <c r="F477" s="270" t="s">
        <v>62</v>
      </c>
      <c r="G477" s="270" t="s">
        <v>39</v>
      </c>
      <c r="H477" s="298">
        <v>2.6</v>
      </c>
      <c r="I477" s="292"/>
      <c r="J477" s="286"/>
      <c r="K477" s="286">
        <v>5.5</v>
      </c>
      <c r="L477" s="286"/>
      <c r="M477" s="286"/>
      <c r="N477" s="292">
        <v>5.5</v>
      </c>
      <c r="O477" s="286">
        <v>5.5</v>
      </c>
      <c r="P477" s="292">
        <v>5.5</v>
      </c>
      <c r="Q477" s="286">
        <v>5.5</v>
      </c>
      <c r="R477" s="286"/>
      <c r="S477" s="286">
        <v>5.5</v>
      </c>
      <c r="T477" s="286"/>
      <c r="U477" s="286"/>
      <c r="V477" s="294"/>
      <c r="W477" s="286"/>
      <c r="X477" s="286"/>
      <c r="Y477" s="286"/>
      <c r="Z477" s="286"/>
      <c r="AA477" s="286"/>
      <c r="AB477" s="286"/>
      <c r="AC477" s="286"/>
      <c r="AD477" s="286"/>
      <c r="AE477" s="286"/>
      <c r="AF477" s="286"/>
      <c r="AG477" s="286"/>
      <c r="AH477" s="286"/>
      <c r="AI477" s="286"/>
      <c r="AJ477" s="286"/>
      <c r="AK477" s="287">
        <v>5.5</v>
      </c>
      <c r="AL477" s="288"/>
      <c r="AM477" s="287">
        <v>5.5</v>
      </c>
      <c r="AN477" s="287"/>
      <c r="AO477" s="287"/>
      <c r="AP477" s="286"/>
      <c r="AQ477" s="296">
        <v>5.5</v>
      </c>
      <c r="AR477" s="286"/>
      <c r="AS477" s="286"/>
      <c r="AT477" s="286"/>
      <c r="AU477" s="286"/>
      <c r="AV477" s="286"/>
      <c r="AW477" s="286"/>
      <c r="AX477" s="286"/>
      <c r="AY477" s="286"/>
      <c r="AZ477" s="286"/>
      <c r="BA477" s="286"/>
      <c r="BB477" s="286"/>
      <c r="BC477" s="286"/>
      <c r="BD477" s="287"/>
      <c r="BE477" s="287"/>
      <c r="BF477" s="287"/>
      <c r="BG477" s="288">
        <v>5.5</v>
      </c>
      <c r="BH477" s="287"/>
      <c r="BI477" s="287"/>
      <c r="BJ477" s="287"/>
      <c r="BK477" s="287"/>
      <c r="BL477" s="287"/>
      <c r="BM477" s="287"/>
      <c r="BN477" s="287"/>
      <c r="BO477" s="287"/>
      <c r="BP477" s="287"/>
      <c r="BQ477" s="287"/>
      <c r="BR477" s="287"/>
      <c r="BS477" s="287"/>
      <c r="BT477" s="287"/>
      <c r="BU477" s="287"/>
      <c r="BV477" s="287"/>
      <c r="BW477" s="287"/>
      <c r="BX477" s="286"/>
      <c r="BY477" s="289"/>
      <c r="BZ477" s="289">
        <v>5.5</v>
      </c>
      <c r="CA477" s="289"/>
      <c r="CB477" s="289"/>
      <c r="CC477" s="289"/>
      <c r="CD477" s="289"/>
      <c r="CE477" s="289"/>
      <c r="CF477" s="289"/>
      <c r="CG477" s="287"/>
      <c r="CH477" s="287"/>
      <c r="CI477" s="287"/>
      <c r="CJ477" s="287"/>
      <c r="CK477" s="287"/>
      <c r="CL477" s="287">
        <v>5.5</v>
      </c>
      <c r="CM477" s="287"/>
      <c r="CN477" s="287"/>
      <c r="CO477" s="287"/>
      <c r="CP477" s="287"/>
      <c r="CQ477" s="287"/>
      <c r="CR477" s="287"/>
      <c r="CS477" s="6"/>
      <c r="CT477" s="6"/>
      <c r="CU477" s="6"/>
      <c r="CV477" s="6"/>
      <c r="CW477" s="6"/>
      <c r="CX477" s="6"/>
      <c r="CY477" s="6"/>
      <c r="CZ477" s="6"/>
      <c r="DA477" s="343">
        <f t="shared" ref="DA477:DA528" si="20">H477</f>
        <v>2.6</v>
      </c>
    </row>
    <row r="478" spans="1:105" ht="20" customHeight="1" x14ac:dyDescent="0.35">
      <c r="A478" s="290"/>
      <c r="B478" s="270" t="s">
        <v>1753</v>
      </c>
      <c r="C478" s="270" t="s">
        <v>1952</v>
      </c>
      <c r="D478" s="297" t="s">
        <v>632</v>
      </c>
      <c r="E478" s="297" t="s">
        <v>632</v>
      </c>
      <c r="F478" s="270" t="s">
        <v>62</v>
      </c>
      <c r="G478" s="270" t="s">
        <v>39</v>
      </c>
      <c r="H478" s="298">
        <v>2.6</v>
      </c>
      <c r="I478" s="292"/>
      <c r="J478" s="286"/>
      <c r="K478" s="286"/>
      <c r="L478" s="286"/>
      <c r="M478" s="286"/>
      <c r="N478" s="292"/>
      <c r="O478" s="286"/>
      <c r="P478" s="292"/>
      <c r="Q478" s="286"/>
      <c r="R478" s="286"/>
      <c r="S478" s="286"/>
      <c r="T478" s="286"/>
      <c r="U478" s="286"/>
      <c r="V478" s="294"/>
      <c r="W478" s="286"/>
      <c r="X478" s="286"/>
      <c r="Y478" s="286"/>
      <c r="Z478" s="286"/>
      <c r="AA478" s="286"/>
      <c r="AB478" s="286"/>
      <c r="AC478" s="286"/>
      <c r="AD478" s="286"/>
      <c r="AE478" s="286"/>
      <c r="AF478" s="286"/>
      <c r="AG478" s="286"/>
      <c r="AH478" s="286"/>
      <c r="AI478" s="286"/>
      <c r="AJ478" s="286"/>
      <c r="AK478" s="287"/>
      <c r="AL478" s="288"/>
      <c r="AM478" s="287"/>
      <c r="AN478" s="287"/>
      <c r="AO478" s="287"/>
      <c r="AP478" s="286"/>
      <c r="AQ478" s="296">
        <v>6.8</v>
      </c>
      <c r="AR478" s="286"/>
      <c r="AS478" s="286"/>
      <c r="AT478" s="286"/>
      <c r="AU478" s="286"/>
      <c r="AV478" s="286"/>
      <c r="AW478" s="286"/>
      <c r="AX478" s="286"/>
      <c r="AY478" s="286"/>
      <c r="AZ478" s="286"/>
      <c r="BA478" s="286"/>
      <c r="BB478" s="286"/>
      <c r="BC478" s="286"/>
      <c r="BD478" s="287"/>
      <c r="BE478" s="287"/>
      <c r="BF478" s="287"/>
      <c r="BG478" s="288"/>
      <c r="BH478" s="287"/>
      <c r="BI478" s="287"/>
      <c r="BJ478" s="287"/>
      <c r="BK478" s="287"/>
      <c r="BL478" s="287"/>
      <c r="BM478" s="287"/>
      <c r="BN478" s="287"/>
      <c r="BO478" s="287"/>
      <c r="BP478" s="287"/>
      <c r="BQ478" s="287"/>
      <c r="BR478" s="287"/>
      <c r="BS478" s="287"/>
      <c r="BT478" s="287"/>
      <c r="BU478" s="287"/>
      <c r="BV478" s="287"/>
      <c r="BW478" s="287"/>
      <c r="BX478" s="286"/>
      <c r="BY478" s="289"/>
      <c r="BZ478" s="289"/>
      <c r="CA478" s="289"/>
      <c r="CB478" s="289"/>
      <c r="CC478" s="289"/>
      <c r="CD478" s="289"/>
      <c r="CE478" s="289"/>
      <c r="CF478" s="289"/>
      <c r="CG478" s="287"/>
      <c r="CH478" s="287"/>
      <c r="CI478" s="287"/>
      <c r="CJ478" s="287"/>
      <c r="CK478" s="287"/>
      <c r="CL478" s="287"/>
      <c r="CM478" s="287"/>
      <c r="CN478" s="287"/>
      <c r="CO478" s="287"/>
      <c r="CP478" s="287"/>
      <c r="CQ478" s="287"/>
      <c r="CR478" s="287">
        <v>7</v>
      </c>
      <c r="CS478" s="6"/>
      <c r="CT478" s="6"/>
      <c r="CU478" s="6"/>
      <c r="CV478" s="6"/>
      <c r="CW478" s="6"/>
      <c r="CX478" s="6"/>
      <c r="CY478" s="6"/>
      <c r="CZ478" s="6"/>
      <c r="DA478" s="343">
        <f t="shared" si="20"/>
        <v>2.6</v>
      </c>
    </row>
    <row r="479" spans="1:105" ht="20" customHeight="1" x14ac:dyDescent="0.35">
      <c r="A479" s="290">
        <v>520790</v>
      </c>
      <c r="B479" s="270" t="s">
        <v>1007</v>
      </c>
      <c r="C479" s="270" t="s">
        <v>243</v>
      </c>
      <c r="D479" s="297" t="s">
        <v>604</v>
      </c>
      <c r="E479" s="297" t="s">
        <v>604</v>
      </c>
      <c r="F479" s="270" t="s">
        <v>62</v>
      </c>
      <c r="G479" s="270" t="s">
        <v>39</v>
      </c>
      <c r="H479" s="298">
        <v>2</v>
      </c>
      <c r="I479" s="292">
        <v>4</v>
      </c>
      <c r="J479" s="292">
        <v>3</v>
      </c>
      <c r="K479" s="286"/>
      <c r="L479" s="286"/>
      <c r="M479" s="286"/>
      <c r="N479" s="286"/>
      <c r="O479" s="286">
        <v>3.2</v>
      </c>
      <c r="P479" s="286">
        <v>3.5</v>
      </c>
      <c r="Q479" s="286"/>
      <c r="R479" s="286"/>
      <c r="S479" s="286"/>
      <c r="T479" s="286">
        <v>3</v>
      </c>
      <c r="U479" s="286"/>
      <c r="V479" s="294"/>
      <c r="W479" s="286"/>
      <c r="X479" s="286"/>
      <c r="Y479" s="286"/>
      <c r="Z479" s="286"/>
      <c r="AA479" s="286"/>
      <c r="AB479" s="286"/>
      <c r="AC479" s="286">
        <v>3.5</v>
      </c>
      <c r="AD479" s="286"/>
      <c r="AE479" s="286"/>
      <c r="AF479" s="286"/>
      <c r="AG479" s="286"/>
      <c r="AH479" s="286"/>
      <c r="AI479" s="286"/>
      <c r="AJ479" s="286">
        <v>3.5</v>
      </c>
      <c r="AK479" s="295">
        <v>3.5</v>
      </c>
      <c r="AL479" s="288"/>
      <c r="AM479" s="287"/>
      <c r="AN479" s="287"/>
      <c r="AO479" s="287"/>
      <c r="AP479" s="286">
        <v>3</v>
      </c>
      <c r="AQ479" s="296">
        <v>3.5</v>
      </c>
      <c r="AR479" s="286">
        <v>3</v>
      </c>
      <c r="AS479" s="286"/>
      <c r="AT479" s="286">
        <v>3</v>
      </c>
      <c r="AU479" s="286">
        <v>3</v>
      </c>
      <c r="AV479" s="286">
        <v>3</v>
      </c>
      <c r="AW479" s="286">
        <v>3</v>
      </c>
      <c r="AX479" s="286">
        <v>3</v>
      </c>
      <c r="AY479" s="286">
        <v>3</v>
      </c>
      <c r="AZ479" s="286">
        <v>3</v>
      </c>
      <c r="BA479" s="286">
        <v>3</v>
      </c>
      <c r="BB479" s="286">
        <f>BA479</f>
        <v>3</v>
      </c>
      <c r="BC479" s="286">
        <v>3</v>
      </c>
      <c r="BD479" s="287"/>
      <c r="BE479" s="287"/>
      <c r="BF479" s="287"/>
      <c r="BG479" s="288">
        <v>3.5</v>
      </c>
      <c r="BH479" s="287"/>
      <c r="BI479" s="287"/>
      <c r="BJ479" s="287"/>
      <c r="BK479" s="287"/>
      <c r="BL479" s="287"/>
      <c r="BM479" s="287"/>
      <c r="BN479" s="287"/>
      <c r="BO479" s="287"/>
      <c r="BP479" s="287"/>
      <c r="BQ479" s="287"/>
      <c r="BR479" s="287"/>
      <c r="BS479" s="287"/>
      <c r="BT479" s="287"/>
      <c r="BU479" s="287"/>
      <c r="BV479" s="287"/>
      <c r="BW479" s="287"/>
      <c r="BX479" s="286">
        <v>3</v>
      </c>
      <c r="BY479" s="289"/>
      <c r="BZ479" s="289"/>
      <c r="CA479" s="289"/>
      <c r="CB479" s="289"/>
      <c r="CC479" s="289"/>
      <c r="CD479" s="289"/>
      <c r="CE479" s="289"/>
      <c r="CF479" s="289"/>
      <c r="CG479" s="287"/>
      <c r="CH479" s="287"/>
      <c r="CI479" s="287"/>
      <c r="CJ479" s="287"/>
      <c r="CK479" s="287"/>
      <c r="CL479" s="287">
        <v>3</v>
      </c>
      <c r="CM479" s="287"/>
      <c r="CN479" s="287"/>
      <c r="CO479" s="287"/>
      <c r="CP479" s="287"/>
      <c r="CQ479" s="287"/>
      <c r="CR479" s="287"/>
      <c r="CS479" s="288">
        <v>4</v>
      </c>
      <c r="CT479" s="6"/>
      <c r="CU479" s="6"/>
      <c r="CV479" s="6"/>
      <c r="CW479" s="6"/>
      <c r="CX479" s="6"/>
      <c r="CY479" s="6"/>
      <c r="CZ479" s="6"/>
      <c r="DA479" s="343">
        <f t="shared" si="20"/>
        <v>2</v>
      </c>
    </row>
    <row r="480" spans="1:105" ht="20" customHeight="1" x14ac:dyDescent="0.35">
      <c r="A480" s="290"/>
      <c r="B480" s="270" t="s">
        <v>2163</v>
      </c>
      <c r="C480" s="270" t="s">
        <v>1952</v>
      </c>
      <c r="D480" s="297" t="s">
        <v>604</v>
      </c>
      <c r="E480" s="297" t="s">
        <v>604</v>
      </c>
      <c r="F480" s="270" t="s">
        <v>62</v>
      </c>
      <c r="G480" s="270" t="s">
        <v>39</v>
      </c>
      <c r="H480" s="298">
        <v>2</v>
      </c>
      <c r="I480" s="292"/>
      <c r="J480" s="292"/>
      <c r="K480" s="286"/>
      <c r="L480" s="286"/>
      <c r="M480" s="286"/>
      <c r="N480" s="286"/>
      <c r="O480" s="286"/>
      <c r="P480" s="286"/>
      <c r="Q480" s="286"/>
      <c r="R480" s="286"/>
      <c r="S480" s="286"/>
      <c r="T480" s="286"/>
      <c r="U480" s="286"/>
      <c r="V480" s="294"/>
      <c r="W480" s="286"/>
      <c r="X480" s="286"/>
      <c r="Y480" s="286"/>
      <c r="Z480" s="286"/>
      <c r="AA480" s="286"/>
      <c r="AB480" s="286"/>
      <c r="AC480" s="286"/>
      <c r="AD480" s="286"/>
      <c r="AE480" s="286"/>
      <c r="AF480" s="286"/>
      <c r="AG480" s="286"/>
      <c r="AH480" s="286"/>
      <c r="AI480" s="286"/>
      <c r="AJ480" s="286"/>
      <c r="AK480" s="295"/>
      <c r="AL480" s="288"/>
      <c r="AM480" s="287"/>
      <c r="AN480" s="287"/>
      <c r="AO480" s="287"/>
      <c r="AP480" s="286"/>
      <c r="AQ480" s="296"/>
      <c r="AR480" s="286"/>
      <c r="AS480" s="286"/>
      <c r="AT480" s="286"/>
      <c r="AU480" s="286"/>
      <c r="AV480" s="286"/>
      <c r="AW480" s="286"/>
      <c r="AX480" s="286"/>
      <c r="AY480" s="286"/>
      <c r="AZ480" s="286"/>
      <c r="BA480" s="286"/>
      <c r="BB480" s="286"/>
      <c r="BC480" s="286"/>
      <c r="BD480" s="287"/>
      <c r="BE480" s="287"/>
      <c r="BF480" s="287"/>
      <c r="BG480" s="288"/>
      <c r="BH480" s="287"/>
      <c r="BI480" s="287"/>
      <c r="BJ480" s="287"/>
      <c r="BK480" s="287"/>
      <c r="BL480" s="287"/>
      <c r="BM480" s="287"/>
      <c r="BN480" s="287"/>
      <c r="BO480" s="287"/>
      <c r="BP480" s="287"/>
      <c r="BQ480" s="287"/>
      <c r="BR480" s="287"/>
      <c r="BS480" s="287"/>
      <c r="BT480" s="287"/>
      <c r="BU480" s="287"/>
      <c r="BV480" s="287"/>
      <c r="BW480" s="287"/>
      <c r="BX480" s="286"/>
      <c r="BY480" s="289"/>
      <c r="BZ480" s="289"/>
      <c r="CA480" s="289"/>
      <c r="CB480" s="289"/>
      <c r="CC480" s="289"/>
      <c r="CD480" s="289"/>
      <c r="CE480" s="289"/>
      <c r="CF480" s="289"/>
      <c r="CG480" s="287"/>
      <c r="CH480" s="287"/>
      <c r="CI480" s="287"/>
      <c r="CJ480" s="287"/>
      <c r="CK480" s="287"/>
      <c r="CL480" s="287"/>
      <c r="CM480" s="287"/>
      <c r="CN480" s="287"/>
      <c r="CO480" s="287"/>
      <c r="CP480" s="287"/>
      <c r="CQ480" s="287"/>
      <c r="CR480" s="287">
        <v>5</v>
      </c>
      <c r="CS480" s="288">
        <v>4</v>
      </c>
      <c r="CT480" s="6"/>
      <c r="CU480" s="6"/>
      <c r="CV480" s="6"/>
      <c r="CW480" s="6"/>
      <c r="CX480" s="6"/>
      <c r="CY480" s="6"/>
      <c r="CZ480" s="6"/>
      <c r="DA480" s="343">
        <f t="shared" ref="DA480" si="21">H480</f>
        <v>2</v>
      </c>
    </row>
    <row r="481" spans="1:105" ht="20" customHeight="1" x14ac:dyDescent="0.35">
      <c r="A481" s="290">
        <v>4000006639</v>
      </c>
      <c r="B481" s="270" t="s">
        <v>1008</v>
      </c>
      <c r="C481" s="270" t="s">
        <v>1952</v>
      </c>
      <c r="D481" s="270" t="s">
        <v>312</v>
      </c>
      <c r="E481" s="297" t="s">
        <v>632</v>
      </c>
      <c r="F481" s="270" t="s">
        <v>62</v>
      </c>
      <c r="G481" s="270" t="s">
        <v>39</v>
      </c>
      <c r="H481" s="298">
        <v>6.2</v>
      </c>
      <c r="I481" s="286">
        <v>5</v>
      </c>
      <c r="J481" s="286"/>
      <c r="K481" s="286">
        <v>6.5</v>
      </c>
      <c r="L481" s="286"/>
      <c r="M481" s="286"/>
      <c r="N481" s="286"/>
      <c r="O481" s="286"/>
      <c r="P481" s="286"/>
      <c r="Q481" s="286"/>
      <c r="R481" s="286"/>
      <c r="S481" s="286"/>
      <c r="T481" s="286"/>
      <c r="U481" s="286"/>
      <c r="V481" s="294"/>
      <c r="W481" s="286"/>
      <c r="X481" s="286">
        <v>7</v>
      </c>
      <c r="Y481" s="286"/>
      <c r="Z481" s="286"/>
      <c r="AA481" s="286"/>
      <c r="AB481" s="286"/>
      <c r="AC481" s="286"/>
      <c r="AD481" s="286"/>
      <c r="AE481" s="286"/>
      <c r="AF481" s="286"/>
      <c r="AG481" s="286"/>
      <c r="AH481" s="286"/>
      <c r="AI481" s="286"/>
      <c r="AJ481" s="286"/>
      <c r="AK481" s="287"/>
      <c r="AL481" s="288"/>
      <c r="AM481" s="287"/>
      <c r="AN481" s="287"/>
      <c r="AO481" s="287"/>
      <c r="AP481" s="286"/>
      <c r="AQ481" s="296"/>
      <c r="AR481" s="286"/>
      <c r="AS481" s="286"/>
      <c r="AT481" s="286"/>
      <c r="AU481" s="286"/>
      <c r="AV481" s="286"/>
      <c r="AW481" s="286"/>
      <c r="AX481" s="286"/>
      <c r="AY481" s="286"/>
      <c r="AZ481" s="286"/>
      <c r="BA481" s="286"/>
      <c r="BB481" s="286"/>
      <c r="BC481" s="286"/>
      <c r="BD481" s="287"/>
      <c r="BE481" s="287"/>
      <c r="BF481" s="287"/>
      <c r="BG481" s="287"/>
      <c r="BH481" s="287"/>
      <c r="BI481" s="287"/>
      <c r="BJ481" s="287"/>
      <c r="BK481" s="287"/>
      <c r="BL481" s="287"/>
      <c r="BM481" s="287"/>
      <c r="BN481" s="287"/>
      <c r="BO481" s="287"/>
      <c r="BP481" s="287"/>
      <c r="BQ481" s="287"/>
      <c r="BR481" s="287"/>
      <c r="BS481" s="287"/>
      <c r="BT481" s="287"/>
      <c r="BU481" s="287"/>
      <c r="BV481" s="287"/>
      <c r="BW481" s="287"/>
      <c r="BX481" s="286"/>
      <c r="BY481" s="289"/>
      <c r="BZ481" s="289"/>
      <c r="CA481" s="289"/>
      <c r="CB481" s="289"/>
      <c r="CC481" s="289"/>
      <c r="CD481" s="289"/>
      <c r="CE481" s="289"/>
      <c r="CF481" s="289"/>
      <c r="CG481" s="287"/>
      <c r="CH481" s="287"/>
      <c r="CI481" s="287"/>
      <c r="CJ481" s="287"/>
      <c r="CK481" s="287"/>
      <c r="CL481" s="287"/>
      <c r="CM481" s="287"/>
      <c r="CN481" s="287"/>
      <c r="CO481" s="287"/>
      <c r="CP481" s="287"/>
      <c r="CQ481" s="287"/>
      <c r="CR481" s="287"/>
      <c r="CS481" s="6"/>
      <c r="CT481" s="6"/>
      <c r="CU481" s="6"/>
      <c r="CV481" s="6"/>
      <c r="CW481" s="6"/>
      <c r="CX481" s="6"/>
      <c r="CY481" s="6"/>
      <c r="CZ481" s="6"/>
      <c r="DA481" s="343">
        <f t="shared" si="20"/>
        <v>6.2</v>
      </c>
    </row>
    <row r="482" spans="1:105" ht="20" customHeight="1" x14ac:dyDescent="0.35">
      <c r="A482" s="290"/>
      <c r="B482" s="270" t="s">
        <v>1737</v>
      </c>
      <c r="C482" s="270" t="s">
        <v>1738</v>
      </c>
      <c r="D482" s="270" t="s">
        <v>312</v>
      </c>
      <c r="E482" s="297" t="s">
        <v>632</v>
      </c>
      <c r="F482" s="270" t="s">
        <v>1048</v>
      </c>
      <c r="G482" s="270" t="s">
        <v>39</v>
      </c>
      <c r="H482" s="298">
        <v>4.4000000000000004</v>
      </c>
      <c r="I482" s="286"/>
      <c r="J482" s="286"/>
      <c r="K482" s="286"/>
      <c r="L482" s="286"/>
      <c r="M482" s="286"/>
      <c r="N482" s="286"/>
      <c r="O482" s="286"/>
      <c r="P482" s="286"/>
      <c r="Q482" s="286"/>
      <c r="R482" s="286"/>
      <c r="S482" s="286"/>
      <c r="T482" s="286"/>
      <c r="U482" s="286"/>
      <c r="V482" s="294"/>
      <c r="W482" s="286"/>
      <c r="X482" s="286"/>
      <c r="Y482" s="286"/>
      <c r="Z482" s="286"/>
      <c r="AA482" s="286"/>
      <c r="AB482" s="286"/>
      <c r="AC482" s="286"/>
      <c r="AD482" s="286"/>
      <c r="AE482" s="286"/>
      <c r="AF482" s="286"/>
      <c r="AG482" s="286"/>
      <c r="AH482" s="286"/>
      <c r="AI482" s="286"/>
      <c r="AJ482" s="286"/>
      <c r="AK482" s="287"/>
      <c r="AL482" s="288"/>
      <c r="AM482" s="287"/>
      <c r="AN482" s="287"/>
      <c r="AO482" s="287"/>
      <c r="AP482" s="286"/>
      <c r="AQ482" s="296">
        <v>10.4</v>
      </c>
      <c r="AR482" s="286"/>
      <c r="AS482" s="286"/>
      <c r="AT482" s="286"/>
      <c r="AU482" s="286"/>
      <c r="AV482" s="286"/>
      <c r="AW482" s="286"/>
      <c r="AX482" s="286"/>
      <c r="AY482" s="286"/>
      <c r="AZ482" s="286"/>
      <c r="BA482" s="286"/>
      <c r="BB482" s="286"/>
      <c r="BC482" s="286"/>
      <c r="BD482" s="287"/>
      <c r="BE482" s="287"/>
      <c r="BF482" s="287"/>
      <c r="BG482" s="287"/>
      <c r="BH482" s="287"/>
      <c r="BI482" s="287"/>
      <c r="BJ482" s="287"/>
      <c r="BK482" s="287"/>
      <c r="BL482" s="287"/>
      <c r="BM482" s="287"/>
      <c r="BN482" s="287"/>
      <c r="BO482" s="287"/>
      <c r="BP482" s="287"/>
      <c r="BQ482" s="287"/>
      <c r="BR482" s="287"/>
      <c r="BS482" s="287"/>
      <c r="BT482" s="287"/>
      <c r="BU482" s="287"/>
      <c r="BV482" s="287"/>
      <c r="BW482" s="287"/>
      <c r="BX482" s="286"/>
      <c r="BY482" s="289"/>
      <c r="BZ482" s="289"/>
      <c r="CA482" s="289"/>
      <c r="CB482" s="289"/>
      <c r="CC482" s="289"/>
      <c r="CD482" s="289"/>
      <c r="CE482" s="289"/>
      <c r="CF482" s="289"/>
      <c r="CG482" s="287"/>
      <c r="CH482" s="287"/>
      <c r="CI482" s="287"/>
      <c r="CJ482" s="287"/>
      <c r="CK482" s="287"/>
      <c r="CL482" s="287"/>
      <c r="CM482" s="287"/>
      <c r="CN482" s="287"/>
      <c r="CO482" s="287"/>
      <c r="CP482" s="287"/>
      <c r="CQ482" s="287"/>
      <c r="CR482" s="287"/>
      <c r="CS482" s="6"/>
      <c r="CT482" s="6"/>
      <c r="CU482" s="6"/>
      <c r="CV482" s="6"/>
      <c r="CW482" s="6"/>
      <c r="CX482" s="6"/>
      <c r="CY482" s="6"/>
      <c r="CZ482" s="6"/>
      <c r="DA482" s="343">
        <f t="shared" si="20"/>
        <v>4.4000000000000004</v>
      </c>
    </row>
    <row r="483" spans="1:105" ht="20" customHeight="1" x14ac:dyDescent="0.35">
      <c r="A483" s="290">
        <v>520731</v>
      </c>
      <c r="B483" s="270" t="s">
        <v>1009</v>
      </c>
      <c r="C483" s="270" t="s">
        <v>244</v>
      </c>
      <c r="D483" s="297" t="s">
        <v>604</v>
      </c>
      <c r="E483" s="270" t="s">
        <v>34</v>
      </c>
      <c r="F483" s="270" t="s">
        <v>62</v>
      </c>
      <c r="G483" s="270" t="s">
        <v>39</v>
      </c>
      <c r="H483" s="298">
        <v>1.1000000000000001</v>
      </c>
      <c r="I483" s="292">
        <v>1.8</v>
      </c>
      <c r="J483" s="292">
        <v>1.8</v>
      </c>
      <c r="K483" s="286"/>
      <c r="L483" s="286"/>
      <c r="M483" s="286"/>
      <c r="N483" s="286"/>
      <c r="O483" s="286">
        <v>2</v>
      </c>
      <c r="P483" s="292">
        <v>1.8</v>
      </c>
      <c r="Q483" s="286">
        <v>1.8</v>
      </c>
      <c r="R483" s="286"/>
      <c r="S483" s="286">
        <v>2.5</v>
      </c>
      <c r="T483" s="286">
        <v>1.8</v>
      </c>
      <c r="U483" s="286">
        <v>1.8</v>
      </c>
      <c r="V483" s="294"/>
      <c r="W483" s="286"/>
      <c r="X483" s="286"/>
      <c r="Y483" s="286">
        <v>2</v>
      </c>
      <c r="Z483" s="286"/>
      <c r="AA483" s="286"/>
      <c r="AB483" s="286"/>
      <c r="AC483" s="286">
        <v>2</v>
      </c>
      <c r="AD483" s="286"/>
      <c r="AE483" s="286">
        <v>2</v>
      </c>
      <c r="AF483" s="286"/>
      <c r="AG483" s="286"/>
      <c r="AH483" s="286"/>
      <c r="AI483" s="286"/>
      <c r="AJ483" s="286"/>
      <c r="AK483" s="295">
        <v>2.2000000000000002</v>
      </c>
      <c r="AL483" s="288"/>
      <c r="AM483" s="287">
        <v>2</v>
      </c>
      <c r="AN483" s="287"/>
      <c r="AO483" s="286">
        <v>1.8</v>
      </c>
      <c r="AP483" s="286">
        <v>1.8</v>
      </c>
      <c r="AQ483" s="296">
        <v>2.2000000000000002</v>
      </c>
      <c r="AR483" s="286">
        <v>1.8</v>
      </c>
      <c r="AS483" s="286"/>
      <c r="AT483" s="286">
        <v>1.8</v>
      </c>
      <c r="AU483" s="286">
        <v>1.8</v>
      </c>
      <c r="AV483" s="286">
        <v>1.8</v>
      </c>
      <c r="AW483" s="286">
        <v>1.8</v>
      </c>
      <c r="AX483" s="286">
        <v>1.8</v>
      </c>
      <c r="AY483" s="286">
        <v>1.8</v>
      </c>
      <c r="AZ483" s="286">
        <v>1.8</v>
      </c>
      <c r="BA483" s="286">
        <v>1.8</v>
      </c>
      <c r="BB483" s="286">
        <f>BA483</f>
        <v>1.8</v>
      </c>
      <c r="BC483" s="286">
        <v>1.5</v>
      </c>
      <c r="BD483" s="287"/>
      <c r="BE483" s="287"/>
      <c r="BF483" s="287"/>
      <c r="BG483" s="288">
        <v>2</v>
      </c>
      <c r="BH483" s="287"/>
      <c r="BI483" s="287"/>
      <c r="BJ483" s="287"/>
      <c r="BK483" s="287"/>
      <c r="BL483" s="287"/>
      <c r="BM483" s="287"/>
      <c r="BN483" s="287"/>
      <c r="BO483" s="287"/>
      <c r="BP483" s="287"/>
      <c r="BQ483" s="287"/>
      <c r="BR483" s="287"/>
      <c r="BS483" s="287"/>
      <c r="BT483" s="287"/>
      <c r="BU483" s="287">
        <v>1.8</v>
      </c>
      <c r="BV483" s="287"/>
      <c r="BW483" s="287"/>
      <c r="BX483" s="286">
        <f>J483</f>
        <v>1.8</v>
      </c>
      <c r="BY483" s="289"/>
      <c r="BZ483" s="289">
        <v>2</v>
      </c>
      <c r="CA483" s="289"/>
      <c r="CB483" s="289"/>
      <c r="CC483" s="289"/>
      <c r="CD483" s="289"/>
      <c r="CE483" s="289"/>
      <c r="CF483" s="289"/>
      <c r="CG483" s="287"/>
      <c r="CH483" s="287"/>
      <c r="CI483" s="287"/>
      <c r="CJ483" s="287"/>
      <c r="CK483" s="287"/>
      <c r="CL483" s="287"/>
      <c r="CM483" s="292">
        <v>1.8</v>
      </c>
      <c r="CN483" s="292">
        <v>1.8</v>
      </c>
      <c r="CO483" s="292">
        <v>1.8</v>
      </c>
      <c r="CP483" s="287"/>
      <c r="CQ483" s="287">
        <v>2</v>
      </c>
      <c r="CR483" s="292">
        <v>2.2000000000000002</v>
      </c>
      <c r="CS483" s="288">
        <v>1.8</v>
      </c>
      <c r="CT483" s="6"/>
      <c r="CU483" s="6"/>
      <c r="CV483" s="6"/>
      <c r="CW483" s="6"/>
      <c r="CX483" s="6"/>
      <c r="CY483" s="6"/>
      <c r="CZ483" s="6"/>
      <c r="DA483" s="343">
        <f t="shared" si="20"/>
        <v>1.1000000000000001</v>
      </c>
    </row>
    <row r="484" spans="1:105" ht="20" customHeight="1" x14ac:dyDescent="0.35">
      <c r="A484" s="290" t="s">
        <v>2076</v>
      </c>
      <c r="B484" s="270" t="s">
        <v>1009</v>
      </c>
      <c r="C484" s="270" t="s">
        <v>244</v>
      </c>
      <c r="D484" s="297" t="s">
        <v>604</v>
      </c>
      <c r="E484" s="270" t="s">
        <v>34</v>
      </c>
      <c r="F484" s="270" t="s">
        <v>62</v>
      </c>
      <c r="G484" s="270" t="s">
        <v>39</v>
      </c>
      <c r="H484" s="298">
        <v>1.1000000000000001</v>
      </c>
      <c r="I484" s="292">
        <v>1.8</v>
      </c>
      <c r="J484" s="292">
        <v>1.8</v>
      </c>
      <c r="K484" s="286"/>
      <c r="L484" s="286"/>
      <c r="M484" s="286"/>
      <c r="N484" s="286"/>
      <c r="O484" s="286">
        <v>2</v>
      </c>
      <c r="P484" s="292">
        <v>1.8</v>
      </c>
      <c r="Q484" s="286">
        <v>1.8</v>
      </c>
      <c r="R484" s="286"/>
      <c r="S484" s="286">
        <v>2.5</v>
      </c>
      <c r="T484" s="286">
        <v>1.8</v>
      </c>
      <c r="U484" s="286"/>
      <c r="V484" s="294"/>
      <c r="W484" s="286"/>
      <c r="X484" s="286"/>
      <c r="Y484" s="286">
        <v>2</v>
      </c>
      <c r="Z484" s="286"/>
      <c r="AA484" s="286"/>
      <c r="AB484" s="286"/>
      <c r="AC484" s="286">
        <v>2</v>
      </c>
      <c r="AD484" s="286"/>
      <c r="AE484" s="286">
        <v>2</v>
      </c>
      <c r="AF484" s="286"/>
      <c r="AG484" s="286"/>
      <c r="AH484" s="286"/>
      <c r="AI484" s="286"/>
      <c r="AJ484" s="286"/>
      <c r="AK484" s="295">
        <v>2.2000000000000002</v>
      </c>
      <c r="AL484" s="288"/>
      <c r="AM484" s="287">
        <v>2</v>
      </c>
      <c r="AN484" s="287"/>
      <c r="AO484" s="286">
        <v>1.8</v>
      </c>
      <c r="AP484" s="286">
        <v>1.8</v>
      </c>
      <c r="AQ484" s="296">
        <v>2.2000000000000002</v>
      </c>
      <c r="AR484" s="286">
        <v>1.8</v>
      </c>
      <c r="AS484" s="286"/>
      <c r="AT484" s="286">
        <v>1.8</v>
      </c>
      <c r="AU484" s="286">
        <v>1.8</v>
      </c>
      <c r="AV484" s="286">
        <v>1.8</v>
      </c>
      <c r="AW484" s="286">
        <v>1.8</v>
      </c>
      <c r="AX484" s="286">
        <v>1.8</v>
      </c>
      <c r="AY484" s="286">
        <v>1.8</v>
      </c>
      <c r="AZ484" s="286">
        <v>1.8</v>
      </c>
      <c r="BA484" s="286">
        <v>1.8</v>
      </c>
      <c r="BB484" s="286">
        <f>BA484</f>
        <v>1.8</v>
      </c>
      <c r="BC484" s="286">
        <v>1.5</v>
      </c>
      <c r="BD484" s="287"/>
      <c r="BE484" s="287"/>
      <c r="BF484" s="287"/>
      <c r="BG484" s="288">
        <v>2</v>
      </c>
      <c r="BH484" s="287"/>
      <c r="BI484" s="287"/>
      <c r="BJ484" s="287"/>
      <c r="BK484" s="287"/>
      <c r="BL484" s="287"/>
      <c r="BM484" s="287"/>
      <c r="BN484" s="287"/>
      <c r="BO484" s="287"/>
      <c r="BP484" s="287"/>
      <c r="BQ484" s="287"/>
      <c r="BR484" s="287"/>
      <c r="BS484" s="287"/>
      <c r="BT484" s="287"/>
      <c r="BU484" s="287">
        <v>1.8</v>
      </c>
      <c r="BV484" s="287"/>
      <c r="BW484" s="287"/>
      <c r="BX484" s="286">
        <f>J484</f>
        <v>1.8</v>
      </c>
      <c r="BY484" s="289"/>
      <c r="BZ484" s="289">
        <v>2</v>
      </c>
      <c r="CA484" s="289"/>
      <c r="CB484" s="289"/>
      <c r="CC484" s="289"/>
      <c r="CD484" s="289"/>
      <c r="CE484" s="289"/>
      <c r="CF484" s="289"/>
      <c r="CG484" s="287"/>
      <c r="CH484" s="287"/>
      <c r="CI484" s="287"/>
      <c r="CJ484" s="287"/>
      <c r="CK484" s="287"/>
      <c r="CL484" s="287"/>
      <c r="CM484" s="292">
        <v>1.8</v>
      </c>
      <c r="CN484" s="287"/>
      <c r="CO484" s="292">
        <v>1.8</v>
      </c>
      <c r="CP484" s="287"/>
      <c r="CQ484" s="287">
        <v>2</v>
      </c>
      <c r="CR484" s="292"/>
      <c r="CS484" s="288">
        <v>1.8</v>
      </c>
      <c r="CT484" s="6"/>
      <c r="CU484" s="6"/>
      <c r="CV484" s="6"/>
      <c r="CW484" s="6"/>
      <c r="CX484" s="6"/>
      <c r="CY484" s="6"/>
      <c r="CZ484" s="6"/>
      <c r="DA484" s="343">
        <f>H484</f>
        <v>1.1000000000000001</v>
      </c>
    </row>
    <row r="485" spans="1:105" ht="20" customHeight="1" x14ac:dyDescent="0.35">
      <c r="A485" s="290">
        <v>520726</v>
      </c>
      <c r="B485" s="270" t="s">
        <v>1010</v>
      </c>
      <c r="C485" s="270" t="s">
        <v>308</v>
      </c>
      <c r="D485" s="297" t="s">
        <v>604</v>
      </c>
      <c r="E485" s="270" t="s">
        <v>34</v>
      </c>
      <c r="F485" s="270" t="s">
        <v>62</v>
      </c>
      <c r="G485" s="270" t="s">
        <v>39</v>
      </c>
      <c r="H485" s="298">
        <v>1.8</v>
      </c>
      <c r="I485" s="300">
        <v>3.2</v>
      </c>
      <c r="J485" s="292">
        <v>2.8</v>
      </c>
      <c r="K485" s="286"/>
      <c r="L485" s="286"/>
      <c r="M485" s="286"/>
      <c r="N485" s="292">
        <v>2.8</v>
      </c>
      <c r="O485" s="286">
        <v>2.8</v>
      </c>
      <c r="P485" s="292">
        <v>2.8</v>
      </c>
      <c r="Q485" s="286">
        <v>2.8</v>
      </c>
      <c r="R485" s="286"/>
      <c r="S485" s="286">
        <v>2.8</v>
      </c>
      <c r="T485" s="286">
        <v>2.8</v>
      </c>
      <c r="U485" s="292">
        <v>2.8</v>
      </c>
      <c r="V485" s="294"/>
      <c r="W485" s="286"/>
      <c r="X485" s="286"/>
      <c r="Y485" s="286"/>
      <c r="Z485" s="286"/>
      <c r="AA485" s="286"/>
      <c r="AB485" s="286"/>
      <c r="AC485" s="286">
        <v>2.8</v>
      </c>
      <c r="AD485" s="286"/>
      <c r="AE485" s="286"/>
      <c r="AF485" s="286"/>
      <c r="AG485" s="286"/>
      <c r="AH485" s="286"/>
      <c r="AI485" s="286"/>
      <c r="AJ485" s="286"/>
      <c r="AK485" s="295">
        <v>2.8</v>
      </c>
      <c r="AL485" s="288"/>
      <c r="AM485" s="287"/>
      <c r="AN485" s="287"/>
      <c r="AO485" s="286">
        <v>2.8</v>
      </c>
      <c r="AP485" s="286">
        <v>2.8</v>
      </c>
      <c r="AQ485" s="296">
        <v>2.8</v>
      </c>
      <c r="AR485" s="286">
        <v>2.8</v>
      </c>
      <c r="AS485" s="286"/>
      <c r="AT485" s="286">
        <v>2.8</v>
      </c>
      <c r="AU485" s="286">
        <v>2.8</v>
      </c>
      <c r="AV485" s="286">
        <v>2.8</v>
      </c>
      <c r="AW485" s="286">
        <v>2.8</v>
      </c>
      <c r="AX485" s="286">
        <v>2.8</v>
      </c>
      <c r="AY485" s="286">
        <v>2.8</v>
      </c>
      <c r="AZ485" s="286">
        <v>2.8</v>
      </c>
      <c r="BA485" s="286">
        <v>2.8</v>
      </c>
      <c r="BB485" s="286">
        <f>BA485</f>
        <v>2.8</v>
      </c>
      <c r="BC485" s="286">
        <v>2.8</v>
      </c>
      <c r="BD485" s="287"/>
      <c r="BE485" s="287"/>
      <c r="BF485" s="287"/>
      <c r="BG485" s="288">
        <v>4</v>
      </c>
      <c r="BH485" s="287"/>
      <c r="BI485" s="287"/>
      <c r="BJ485" s="287"/>
      <c r="BK485" s="287"/>
      <c r="BL485" s="287"/>
      <c r="BM485" s="287"/>
      <c r="BN485" s="287"/>
      <c r="BO485" s="287"/>
      <c r="BP485" s="287"/>
      <c r="BQ485" s="287"/>
      <c r="BR485" s="287"/>
      <c r="BS485" s="287"/>
      <c r="BT485" s="287"/>
      <c r="BU485" s="287">
        <v>2.8</v>
      </c>
      <c r="BV485" s="287"/>
      <c r="BW485" s="287"/>
      <c r="BX485" s="286">
        <f>J485</f>
        <v>2.8</v>
      </c>
      <c r="BY485" s="289"/>
      <c r="BZ485" s="289">
        <v>2.8</v>
      </c>
      <c r="CA485" s="289"/>
      <c r="CB485" s="289"/>
      <c r="CC485" s="289"/>
      <c r="CD485" s="289"/>
      <c r="CE485" s="289"/>
      <c r="CF485" s="289"/>
      <c r="CG485" s="287"/>
      <c r="CH485" s="287"/>
      <c r="CI485" s="287"/>
      <c r="CJ485" s="287"/>
      <c r="CK485" s="287"/>
      <c r="CL485" s="287"/>
      <c r="CM485" s="292">
        <v>2.8</v>
      </c>
      <c r="CN485" s="287"/>
      <c r="CO485" s="287"/>
      <c r="CP485" s="287"/>
      <c r="CQ485" s="287">
        <v>3</v>
      </c>
      <c r="CR485" s="292"/>
      <c r="CS485" s="288">
        <v>2.8</v>
      </c>
      <c r="CT485" s="6"/>
      <c r="CU485" s="6"/>
      <c r="CV485" s="6"/>
      <c r="CW485" s="6"/>
      <c r="CX485" s="6"/>
      <c r="CY485" s="6"/>
      <c r="CZ485" s="6"/>
      <c r="DA485" s="343">
        <f t="shared" si="20"/>
        <v>1.8</v>
      </c>
    </row>
    <row r="486" spans="1:105" ht="20" customHeight="1" x14ac:dyDescent="0.35">
      <c r="A486" s="290" t="s">
        <v>2077</v>
      </c>
      <c r="B486" s="270" t="s">
        <v>1010</v>
      </c>
      <c r="C486" s="270" t="s">
        <v>308</v>
      </c>
      <c r="D486" s="297" t="s">
        <v>604</v>
      </c>
      <c r="E486" s="270" t="s">
        <v>34</v>
      </c>
      <c r="F486" s="270" t="s">
        <v>62</v>
      </c>
      <c r="G486" s="270" t="s">
        <v>39</v>
      </c>
      <c r="H486" s="298">
        <v>1.8</v>
      </c>
      <c r="I486" s="292"/>
      <c r="J486" s="292"/>
      <c r="K486" s="286"/>
      <c r="L486" s="286"/>
      <c r="M486" s="286"/>
      <c r="N486" s="292"/>
      <c r="O486" s="286"/>
      <c r="P486" s="292"/>
      <c r="Q486" s="286"/>
      <c r="R486" s="286"/>
      <c r="S486" s="286"/>
      <c r="T486" s="286"/>
      <c r="U486" s="286"/>
      <c r="V486" s="294"/>
      <c r="W486" s="286"/>
      <c r="X486" s="286"/>
      <c r="Y486" s="286"/>
      <c r="Z486" s="286"/>
      <c r="AA486" s="286"/>
      <c r="AB486" s="286"/>
      <c r="AC486" s="286"/>
      <c r="AD486" s="286"/>
      <c r="AE486" s="286"/>
      <c r="AF486" s="286"/>
      <c r="AG486" s="286"/>
      <c r="AH486" s="286"/>
      <c r="AI486" s="286"/>
      <c r="AJ486" s="286"/>
      <c r="AK486" s="295"/>
      <c r="AL486" s="288"/>
      <c r="AM486" s="287"/>
      <c r="AN486" s="287"/>
      <c r="AO486" s="286"/>
      <c r="AP486" s="286"/>
      <c r="AQ486" s="296"/>
      <c r="AR486" s="286"/>
      <c r="AS486" s="286"/>
      <c r="AT486" s="286"/>
      <c r="AU486" s="286"/>
      <c r="AV486" s="286"/>
      <c r="AW486" s="286"/>
      <c r="AX486" s="286"/>
      <c r="AY486" s="286"/>
      <c r="AZ486" s="286"/>
      <c r="BA486" s="286"/>
      <c r="BB486" s="286"/>
      <c r="BC486" s="286"/>
      <c r="BD486" s="287"/>
      <c r="BE486" s="287"/>
      <c r="BF486" s="287"/>
      <c r="BG486" s="288"/>
      <c r="BH486" s="287"/>
      <c r="BI486" s="287"/>
      <c r="BJ486" s="287"/>
      <c r="BK486" s="287"/>
      <c r="BL486" s="287"/>
      <c r="BM486" s="287"/>
      <c r="BN486" s="287"/>
      <c r="BO486" s="287"/>
      <c r="BP486" s="287"/>
      <c r="BQ486" s="287"/>
      <c r="BR486" s="287"/>
      <c r="BS486" s="287"/>
      <c r="BT486" s="287"/>
      <c r="BU486" s="287"/>
      <c r="BV486" s="287"/>
      <c r="BW486" s="287"/>
      <c r="BX486" s="286"/>
      <c r="BY486" s="289"/>
      <c r="BZ486" s="289"/>
      <c r="CA486" s="289"/>
      <c r="CB486" s="289"/>
      <c r="CC486" s="289"/>
      <c r="CD486" s="289"/>
      <c r="CE486" s="289"/>
      <c r="CF486" s="289"/>
      <c r="CG486" s="287"/>
      <c r="CH486" s="287"/>
      <c r="CI486" s="287"/>
      <c r="CJ486" s="287"/>
      <c r="CK486" s="287"/>
      <c r="CL486" s="287"/>
      <c r="CM486" s="287"/>
      <c r="CN486" s="287"/>
      <c r="CO486" s="287"/>
      <c r="CP486" s="287"/>
      <c r="CQ486" s="287">
        <v>3</v>
      </c>
      <c r="CR486" s="292"/>
      <c r="CS486" s="288">
        <v>2.8</v>
      </c>
      <c r="CT486" s="6"/>
      <c r="CU486" s="6"/>
      <c r="CV486" s="6"/>
      <c r="CW486" s="6"/>
      <c r="CX486" s="6"/>
      <c r="CY486" s="6"/>
      <c r="CZ486" s="6"/>
      <c r="DA486" s="343">
        <f>H486</f>
        <v>1.8</v>
      </c>
    </row>
    <row r="487" spans="1:105" ht="20" customHeight="1" x14ac:dyDescent="0.35">
      <c r="A487" s="301"/>
      <c r="B487" s="270" t="s">
        <v>1013</v>
      </c>
      <c r="C487" s="270" t="s">
        <v>245</v>
      </c>
      <c r="D487" s="270" t="s">
        <v>630</v>
      </c>
      <c r="E487" s="270" t="s">
        <v>630</v>
      </c>
      <c r="F487" s="270" t="s">
        <v>62</v>
      </c>
      <c r="G487" s="270" t="s">
        <v>44</v>
      </c>
      <c r="H487" s="298">
        <v>3.05</v>
      </c>
      <c r="I487" s="286"/>
      <c r="J487" s="286"/>
      <c r="K487" s="286"/>
      <c r="L487" s="286"/>
      <c r="M487" s="286"/>
      <c r="N487" s="286"/>
      <c r="O487" s="286">
        <v>4</v>
      </c>
      <c r="P487" s="286"/>
      <c r="Q487" s="286"/>
      <c r="R487" s="286"/>
      <c r="S487" s="286"/>
      <c r="T487" s="286"/>
      <c r="U487" s="286"/>
      <c r="V487" s="294"/>
      <c r="W487" s="286"/>
      <c r="X487" s="286"/>
      <c r="Y487" s="286"/>
      <c r="Z487" s="286"/>
      <c r="AA487" s="286"/>
      <c r="AB487" s="286"/>
      <c r="AC487" s="286"/>
      <c r="AD487" s="286"/>
      <c r="AE487" s="286"/>
      <c r="AF487" s="286"/>
      <c r="AG487" s="286"/>
      <c r="AH487" s="286"/>
      <c r="AI487" s="286"/>
      <c r="AJ487" s="286"/>
      <c r="AK487" s="287"/>
      <c r="AL487" s="288"/>
      <c r="AM487" s="287"/>
      <c r="AN487" s="287"/>
      <c r="AO487" s="287"/>
      <c r="AP487" s="286"/>
      <c r="AQ487" s="296">
        <v>4</v>
      </c>
      <c r="AR487" s="286"/>
      <c r="AS487" s="286"/>
      <c r="AT487" s="286"/>
      <c r="AU487" s="286"/>
      <c r="AV487" s="286"/>
      <c r="AW487" s="286"/>
      <c r="AX487" s="286"/>
      <c r="AY487" s="286"/>
      <c r="AZ487" s="286"/>
      <c r="BA487" s="286"/>
      <c r="BB487" s="286"/>
      <c r="BC487" s="286"/>
      <c r="BD487" s="287"/>
      <c r="BE487" s="287"/>
      <c r="BF487" s="287"/>
      <c r="BG487" s="288">
        <v>4</v>
      </c>
      <c r="BH487" s="287"/>
      <c r="BI487" s="287"/>
      <c r="BJ487" s="287"/>
      <c r="BK487" s="287"/>
      <c r="BL487" s="287"/>
      <c r="BM487" s="287"/>
      <c r="BN487" s="287"/>
      <c r="BO487" s="287"/>
      <c r="BP487" s="287"/>
      <c r="BQ487" s="287"/>
      <c r="BR487" s="287"/>
      <c r="BS487" s="287"/>
      <c r="BT487" s="287"/>
      <c r="BU487" s="287"/>
      <c r="BV487" s="287"/>
      <c r="BW487" s="287"/>
      <c r="BX487" s="286"/>
      <c r="BY487" s="289"/>
      <c r="BZ487" s="289"/>
      <c r="CA487" s="289"/>
      <c r="CB487" s="289"/>
      <c r="CC487" s="289"/>
      <c r="CD487" s="289"/>
      <c r="CE487" s="289"/>
      <c r="CF487" s="289"/>
      <c r="CG487" s="287"/>
      <c r="CH487" s="287"/>
      <c r="CI487" s="287"/>
      <c r="CJ487" s="287"/>
      <c r="CK487" s="287"/>
      <c r="CL487" s="287"/>
      <c r="CM487" s="287"/>
      <c r="CN487" s="287"/>
      <c r="CO487" s="287"/>
      <c r="CP487" s="287"/>
      <c r="CQ487" s="287"/>
      <c r="CR487" s="287"/>
      <c r="CS487" s="6"/>
      <c r="CT487" s="6"/>
      <c r="CU487" s="6"/>
      <c r="CV487" s="6"/>
      <c r="CW487" s="6"/>
      <c r="CX487" s="6"/>
      <c r="CY487" s="6"/>
      <c r="CZ487" s="6"/>
      <c r="DA487" s="343">
        <f t="shared" si="20"/>
        <v>3.05</v>
      </c>
    </row>
    <row r="488" spans="1:105" ht="20" customHeight="1" x14ac:dyDescent="0.35">
      <c r="A488" s="301"/>
      <c r="B488" s="270" t="s">
        <v>1014</v>
      </c>
      <c r="C488" s="270" t="s">
        <v>1634</v>
      </c>
      <c r="D488" s="270" t="s">
        <v>604</v>
      </c>
      <c r="E488" s="270" t="s">
        <v>604</v>
      </c>
      <c r="F488" s="270" t="s">
        <v>62</v>
      </c>
      <c r="G488" s="270"/>
      <c r="H488" s="298"/>
      <c r="I488" s="286"/>
      <c r="J488" s="286"/>
      <c r="K488" s="286"/>
      <c r="L488" s="286"/>
      <c r="M488" s="286"/>
      <c r="N488" s="286"/>
      <c r="O488" s="286"/>
      <c r="P488" s="286"/>
      <c r="Q488" s="286"/>
      <c r="R488" s="286"/>
      <c r="S488" s="286"/>
      <c r="T488" s="286"/>
      <c r="U488" s="286"/>
      <c r="V488" s="294"/>
      <c r="W488" s="286"/>
      <c r="X488" s="286"/>
      <c r="Y488" s="286"/>
      <c r="Z488" s="286"/>
      <c r="AA488" s="286"/>
      <c r="AB488" s="286"/>
      <c r="AC488" s="286"/>
      <c r="AD488" s="286"/>
      <c r="AE488" s="286"/>
      <c r="AF488" s="286"/>
      <c r="AG488" s="286"/>
      <c r="AH488" s="286"/>
      <c r="AI488" s="286"/>
      <c r="AJ488" s="286"/>
      <c r="AK488" s="287"/>
      <c r="AL488" s="288"/>
      <c r="AM488" s="287"/>
      <c r="AN488" s="287"/>
      <c r="AO488" s="287"/>
      <c r="AP488" s="286"/>
      <c r="AQ488" s="296"/>
      <c r="AR488" s="286"/>
      <c r="AS488" s="286"/>
      <c r="AT488" s="286"/>
      <c r="AU488" s="286"/>
      <c r="AV488" s="286"/>
      <c r="AW488" s="286"/>
      <c r="AX488" s="286"/>
      <c r="AY488" s="286"/>
      <c r="AZ488" s="286"/>
      <c r="BA488" s="286"/>
      <c r="BB488" s="286"/>
      <c r="BC488" s="286"/>
      <c r="BD488" s="287"/>
      <c r="BE488" s="287"/>
      <c r="BF488" s="287"/>
      <c r="BG488" s="287"/>
      <c r="BH488" s="287"/>
      <c r="BI488" s="287"/>
      <c r="BJ488" s="287"/>
      <c r="BK488" s="287"/>
      <c r="BL488" s="287"/>
      <c r="BM488" s="287"/>
      <c r="BN488" s="287"/>
      <c r="BO488" s="287"/>
      <c r="BP488" s="287"/>
      <c r="BQ488" s="287"/>
      <c r="BR488" s="287"/>
      <c r="BS488" s="287"/>
      <c r="BT488" s="287"/>
      <c r="BU488" s="287"/>
      <c r="BV488" s="287"/>
      <c r="BW488" s="287"/>
      <c r="BX488" s="286"/>
      <c r="BY488" s="289"/>
      <c r="BZ488" s="289"/>
      <c r="CA488" s="289"/>
      <c r="CB488" s="289"/>
      <c r="CC488" s="289"/>
      <c r="CD488" s="289"/>
      <c r="CE488" s="289"/>
      <c r="CF488" s="289"/>
      <c r="CG488" s="287"/>
      <c r="CH488" s="287"/>
      <c r="CI488" s="287"/>
      <c r="CJ488" s="287"/>
      <c r="CK488" s="287"/>
      <c r="CL488" s="287"/>
      <c r="CM488" s="287"/>
      <c r="CN488" s="287"/>
      <c r="CO488" s="287"/>
      <c r="CP488" s="287"/>
      <c r="CQ488" s="287"/>
      <c r="CR488" s="287"/>
      <c r="CS488" s="6"/>
      <c r="CT488" s="6"/>
      <c r="CU488" s="6"/>
      <c r="CV488" s="6"/>
      <c r="CW488" s="6"/>
      <c r="CX488" s="6"/>
      <c r="CY488" s="6"/>
      <c r="CZ488" s="6"/>
      <c r="DA488" s="343">
        <f t="shared" si="20"/>
        <v>0</v>
      </c>
    </row>
    <row r="489" spans="1:105" ht="20" customHeight="1" x14ac:dyDescent="0.35">
      <c r="A489" s="290" t="s">
        <v>60</v>
      </c>
      <c r="B489" s="270" t="s">
        <v>1011</v>
      </c>
      <c r="C489" s="270" t="s">
        <v>247</v>
      </c>
      <c r="D489" s="297" t="s">
        <v>604</v>
      </c>
      <c r="E489" s="270" t="s">
        <v>34</v>
      </c>
      <c r="F489" s="270" t="s">
        <v>62</v>
      </c>
      <c r="G489" s="270" t="s">
        <v>39</v>
      </c>
      <c r="H489" s="298">
        <v>6</v>
      </c>
      <c r="I489" s="292">
        <v>4</v>
      </c>
      <c r="J489" s="292">
        <v>5</v>
      </c>
      <c r="K489" s="286"/>
      <c r="L489" s="286">
        <v>4</v>
      </c>
      <c r="M489" s="286"/>
      <c r="N489" s="286"/>
      <c r="O489" s="286">
        <v>4</v>
      </c>
      <c r="P489" s="292">
        <v>4</v>
      </c>
      <c r="Q489" s="286">
        <v>4</v>
      </c>
      <c r="R489" s="286"/>
      <c r="S489" s="286"/>
      <c r="T489" s="286">
        <v>4</v>
      </c>
      <c r="U489" s="286"/>
      <c r="V489" s="294"/>
      <c r="W489" s="286"/>
      <c r="X489" s="286"/>
      <c r="Y489" s="286"/>
      <c r="Z489" s="286"/>
      <c r="AA489" s="286"/>
      <c r="AB489" s="286"/>
      <c r="AC489" s="286"/>
      <c r="AD489" s="286"/>
      <c r="AE489" s="286"/>
      <c r="AF489" s="286"/>
      <c r="AG489" s="286"/>
      <c r="AH489" s="286"/>
      <c r="AI489" s="286"/>
      <c r="AJ489" s="286"/>
      <c r="AK489" s="287"/>
      <c r="AL489" s="288"/>
      <c r="AM489" s="287">
        <v>4</v>
      </c>
      <c r="AN489" s="287"/>
      <c r="AO489" s="287"/>
      <c r="AP489" s="286">
        <v>4</v>
      </c>
      <c r="AQ489" s="296"/>
      <c r="AR489" s="286">
        <v>4</v>
      </c>
      <c r="AS489" s="286"/>
      <c r="AT489" s="286">
        <v>4</v>
      </c>
      <c r="AU489" s="286">
        <v>4</v>
      </c>
      <c r="AV489" s="286">
        <v>4</v>
      </c>
      <c r="AW489" s="286">
        <v>4</v>
      </c>
      <c r="AX489" s="286">
        <v>4</v>
      </c>
      <c r="AY489" s="286">
        <v>4</v>
      </c>
      <c r="AZ489" s="286">
        <v>4</v>
      </c>
      <c r="BA489" s="286">
        <v>4</v>
      </c>
      <c r="BB489" s="286"/>
      <c r="BC489" s="286">
        <v>4</v>
      </c>
      <c r="BD489" s="287"/>
      <c r="BE489" s="287"/>
      <c r="BF489" s="287"/>
      <c r="BG489" s="287"/>
      <c r="BH489" s="288">
        <v>5</v>
      </c>
      <c r="BI489" s="287"/>
      <c r="BJ489" s="287"/>
      <c r="BK489" s="287"/>
      <c r="BL489" s="287"/>
      <c r="BM489" s="287"/>
      <c r="BN489" s="287"/>
      <c r="BO489" s="287"/>
      <c r="BP489" s="287"/>
      <c r="BQ489" s="287"/>
      <c r="BR489" s="287"/>
      <c r="BS489" s="287"/>
      <c r="BT489" s="287"/>
      <c r="BU489" s="287"/>
      <c r="BV489" s="287"/>
      <c r="BW489" s="287"/>
      <c r="BX489" s="286"/>
      <c r="BY489" s="289"/>
      <c r="BZ489" s="289">
        <v>4</v>
      </c>
      <c r="CA489" s="289"/>
      <c r="CB489" s="289"/>
      <c r="CC489" s="289"/>
      <c r="CD489" s="289"/>
      <c r="CE489" s="289"/>
      <c r="CF489" s="289"/>
      <c r="CG489" s="287"/>
      <c r="CH489" s="287"/>
      <c r="CI489" s="287"/>
      <c r="CJ489" s="287"/>
      <c r="CK489" s="287"/>
      <c r="CL489" s="287"/>
      <c r="CM489" s="287"/>
      <c r="CN489" s="287"/>
      <c r="CO489" s="287"/>
      <c r="CP489" s="287"/>
      <c r="CQ489" s="287">
        <v>5</v>
      </c>
      <c r="CR489" s="287"/>
      <c r="CS489" s="288">
        <v>4</v>
      </c>
      <c r="CT489" s="6"/>
      <c r="CU489" s="6"/>
      <c r="CV489" s="6"/>
      <c r="CW489" s="6"/>
      <c r="CX489" s="6"/>
      <c r="CY489" s="6"/>
      <c r="CZ489" s="6"/>
      <c r="DA489" s="343">
        <f t="shared" si="20"/>
        <v>6</v>
      </c>
    </row>
    <row r="490" spans="1:105" ht="20" customHeight="1" x14ac:dyDescent="0.35">
      <c r="A490" s="290" t="s">
        <v>2080</v>
      </c>
      <c r="B490" s="270" t="s">
        <v>1011</v>
      </c>
      <c r="C490" s="270" t="s">
        <v>247</v>
      </c>
      <c r="D490" s="297" t="s">
        <v>604</v>
      </c>
      <c r="E490" s="270" t="s">
        <v>34</v>
      </c>
      <c r="F490" s="270" t="s">
        <v>62</v>
      </c>
      <c r="G490" s="270" t="s">
        <v>39</v>
      </c>
      <c r="H490" s="298">
        <v>6</v>
      </c>
      <c r="I490" s="292">
        <v>4</v>
      </c>
      <c r="J490" s="292"/>
      <c r="K490" s="286"/>
      <c r="L490" s="286"/>
      <c r="M490" s="286"/>
      <c r="N490" s="286"/>
      <c r="O490" s="286"/>
      <c r="P490" s="292"/>
      <c r="Q490" s="286"/>
      <c r="R490" s="286"/>
      <c r="S490" s="286"/>
      <c r="T490" s="286"/>
      <c r="U490" s="286"/>
      <c r="V490" s="294"/>
      <c r="W490" s="286"/>
      <c r="X490" s="286"/>
      <c r="Y490" s="286"/>
      <c r="Z490" s="286"/>
      <c r="AA490" s="286"/>
      <c r="AB490" s="286"/>
      <c r="AC490" s="286"/>
      <c r="AD490" s="286"/>
      <c r="AE490" s="286"/>
      <c r="AF490" s="286"/>
      <c r="AG490" s="286"/>
      <c r="AH490" s="286"/>
      <c r="AI490" s="286"/>
      <c r="AJ490" s="286"/>
      <c r="AK490" s="287"/>
      <c r="AL490" s="288"/>
      <c r="AM490" s="287"/>
      <c r="AN490" s="287"/>
      <c r="AO490" s="287"/>
      <c r="AP490" s="286"/>
      <c r="AQ490" s="296"/>
      <c r="AR490" s="286"/>
      <c r="AS490" s="286"/>
      <c r="AT490" s="286"/>
      <c r="AU490" s="286"/>
      <c r="AV490" s="286"/>
      <c r="AW490" s="286"/>
      <c r="AX490" s="286"/>
      <c r="AY490" s="286"/>
      <c r="AZ490" s="286"/>
      <c r="BA490" s="286"/>
      <c r="BB490" s="286"/>
      <c r="BC490" s="286"/>
      <c r="BD490" s="287"/>
      <c r="BE490" s="287"/>
      <c r="BF490" s="287"/>
      <c r="BG490" s="287"/>
      <c r="BH490" s="287"/>
      <c r="BI490" s="287"/>
      <c r="BJ490" s="287"/>
      <c r="BK490" s="287"/>
      <c r="BL490" s="287"/>
      <c r="BM490" s="287"/>
      <c r="BN490" s="287"/>
      <c r="BO490" s="287"/>
      <c r="BP490" s="287"/>
      <c r="BQ490" s="287"/>
      <c r="BR490" s="287"/>
      <c r="BS490" s="287"/>
      <c r="BT490" s="287"/>
      <c r="BU490" s="287"/>
      <c r="BV490" s="287"/>
      <c r="BW490" s="287"/>
      <c r="BX490" s="286"/>
      <c r="BY490" s="289"/>
      <c r="BZ490" s="289"/>
      <c r="CA490" s="289"/>
      <c r="CB490" s="289"/>
      <c r="CC490" s="289"/>
      <c r="CD490" s="289"/>
      <c r="CE490" s="289"/>
      <c r="CF490" s="289"/>
      <c r="CG490" s="287"/>
      <c r="CH490" s="287"/>
      <c r="CI490" s="287"/>
      <c r="CJ490" s="287"/>
      <c r="CK490" s="287"/>
      <c r="CL490" s="287"/>
      <c r="CM490" s="287"/>
      <c r="CN490" s="287"/>
      <c r="CO490" s="287"/>
      <c r="CP490" s="287"/>
      <c r="CQ490" s="287">
        <v>5</v>
      </c>
      <c r="CR490" s="287"/>
      <c r="CS490" s="288">
        <v>4</v>
      </c>
      <c r="CT490" s="6"/>
      <c r="CU490" s="6"/>
      <c r="CV490" s="6"/>
      <c r="CW490" s="6"/>
      <c r="CX490" s="6"/>
      <c r="CY490" s="6"/>
      <c r="CZ490" s="6"/>
      <c r="DA490" s="343">
        <f>H490</f>
        <v>6</v>
      </c>
    </row>
    <row r="491" spans="1:105" ht="20" customHeight="1" x14ac:dyDescent="0.35">
      <c r="A491" s="290"/>
      <c r="B491" s="270" t="s">
        <v>1015</v>
      </c>
      <c r="C491" s="270" t="s">
        <v>1546</v>
      </c>
      <c r="D491" s="270" t="s">
        <v>604</v>
      </c>
      <c r="E491" s="270" t="s">
        <v>34</v>
      </c>
      <c r="F491" s="270" t="s">
        <v>62</v>
      </c>
      <c r="G491" s="270"/>
      <c r="H491" s="298">
        <v>6</v>
      </c>
      <c r="I491" s="292"/>
      <c r="J491" s="286"/>
      <c r="K491" s="286"/>
      <c r="L491" s="286"/>
      <c r="M491" s="286"/>
      <c r="N491" s="286"/>
      <c r="O491" s="286"/>
      <c r="P491" s="286"/>
      <c r="Q491" s="286"/>
      <c r="R491" s="286"/>
      <c r="S491" s="286"/>
      <c r="T491" s="286"/>
      <c r="U491" s="286"/>
      <c r="V491" s="294"/>
      <c r="W491" s="286"/>
      <c r="X491" s="286"/>
      <c r="Y491" s="286"/>
      <c r="Z491" s="286"/>
      <c r="AA491" s="286"/>
      <c r="AB491" s="286"/>
      <c r="AC491" s="286"/>
      <c r="AD491" s="286"/>
      <c r="AE491" s="286"/>
      <c r="AF491" s="286"/>
      <c r="AG491" s="286"/>
      <c r="AH491" s="286"/>
      <c r="AI491" s="286"/>
      <c r="AJ491" s="286"/>
      <c r="AK491" s="287"/>
      <c r="AL491" s="288"/>
      <c r="AM491" s="287"/>
      <c r="AN491" s="287"/>
      <c r="AO491" s="287"/>
      <c r="AP491" s="286"/>
      <c r="AQ491" s="296">
        <v>8</v>
      </c>
      <c r="AR491" s="286"/>
      <c r="AS491" s="286"/>
      <c r="AT491" s="286"/>
      <c r="AU491" s="286"/>
      <c r="AV491" s="286"/>
      <c r="AW491" s="286"/>
      <c r="AX491" s="286"/>
      <c r="AY491" s="286"/>
      <c r="AZ491" s="286"/>
      <c r="BA491" s="286"/>
      <c r="BB491" s="286"/>
      <c r="BC491" s="286"/>
      <c r="BD491" s="287"/>
      <c r="BE491" s="287"/>
      <c r="BF491" s="287"/>
      <c r="BG491" s="288">
        <v>7.5</v>
      </c>
      <c r="BH491" s="287"/>
      <c r="BI491" s="287"/>
      <c r="BJ491" s="287"/>
      <c r="BK491" s="287"/>
      <c r="BL491" s="287"/>
      <c r="BM491" s="287"/>
      <c r="BN491" s="287"/>
      <c r="BO491" s="287"/>
      <c r="BP491" s="287"/>
      <c r="BQ491" s="287"/>
      <c r="BR491" s="287"/>
      <c r="BS491" s="287"/>
      <c r="BT491" s="287"/>
      <c r="BU491" s="287"/>
      <c r="BV491" s="287"/>
      <c r="BW491" s="287"/>
      <c r="BX491" s="286"/>
      <c r="BY491" s="289"/>
      <c r="BZ491" s="289"/>
      <c r="CA491" s="289"/>
      <c r="CB491" s="289"/>
      <c r="CC491" s="289"/>
      <c r="CD491" s="289"/>
      <c r="CE491" s="289"/>
      <c r="CF491" s="289"/>
      <c r="CG491" s="287"/>
      <c r="CH491" s="287"/>
      <c r="CI491" s="287"/>
      <c r="CJ491" s="287"/>
      <c r="CK491" s="287"/>
      <c r="CL491" s="287"/>
      <c r="CM491" s="287"/>
      <c r="CN491" s="287"/>
      <c r="CO491" s="287"/>
      <c r="CP491" s="287"/>
      <c r="CQ491" s="287"/>
      <c r="CR491" s="287"/>
      <c r="CS491" s="6"/>
      <c r="CT491" s="6"/>
      <c r="CU491" s="6"/>
      <c r="CV491" s="6"/>
      <c r="CW491" s="6"/>
      <c r="CX491" s="6"/>
      <c r="CY491" s="6"/>
      <c r="CZ491" s="6"/>
      <c r="DA491" s="343">
        <f t="shared" si="20"/>
        <v>6</v>
      </c>
    </row>
    <row r="492" spans="1:105" ht="20" customHeight="1" x14ac:dyDescent="0.35">
      <c r="A492" s="290">
        <v>520701</v>
      </c>
      <c r="B492" s="270" t="s">
        <v>1016</v>
      </c>
      <c r="C492" s="270" t="s">
        <v>1635</v>
      </c>
      <c r="D492" s="297" t="s">
        <v>604</v>
      </c>
      <c r="E492" s="270" t="s">
        <v>34</v>
      </c>
      <c r="F492" s="270" t="s">
        <v>1825</v>
      </c>
      <c r="G492" s="270" t="s">
        <v>522</v>
      </c>
      <c r="H492" s="298">
        <v>3.6</v>
      </c>
      <c r="I492" s="292">
        <v>15</v>
      </c>
      <c r="J492" s="286"/>
      <c r="K492" s="286"/>
      <c r="L492" s="286"/>
      <c r="M492" s="286"/>
      <c r="N492" s="286"/>
      <c r="O492" s="286"/>
      <c r="P492" s="286"/>
      <c r="Q492" s="286"/>
      <c r="R492" s="286"/>
      <c r="S492" s="286"/>
      <c r="T492" s="286"/>
      <c r="U492" s="286"/>
      <c r="V492" s="294"/>
      <c r="W492" s="286"/>
      <c r="X492" s="286"/>
      <c r="Y492" s="286"/>
      <c r="Z492" s="286"/>
      <c r="AA492" s="286"/>
      <c r="AB492" s="286"/>
      <c r="AC492" s="286"/>
      <c r="AD492" s="286"/>
      <c r="AE492" s="286"/>
      <c r="AF492" s="286"/>
      <c r="AG492" s="286"/>
      <c r="AH492" s="286"/>
      <c r="AI492" s="286"/>
      <c r="AJ492" s="286"/>
      <c r="AK492" s="295">
        <v>15</v>
      </c>
      <c r="AL492" s="288"/>
      <c r="AM492" s="287"/>
      <c r="AN492" s="287"/>
      <c r="AO492" s="287"/>
      <c r="AP492" s="286"/>
      <c r="AQ492" s="296"/>
      <c r="AR492" s="286"/>
      <c r="AS492" s="286"/>
      <c r="AT492" s="286"/>
      <c r="AU492" s="286"/>
      <c r="AV492" s="286"/>
      <c r="AW492" s="286"/>
      <c r="AX492" s="286"/>
      <c r="AY492" s="286"/>
      <c r="AZ492" s="286"/>
      <c r="BA492" s="286"/>
      <c r="BB492" s="286"/>
      <c r="BC492" s="286"/>
      <c r="BD492" s="287"/>
      <c r="BE492" s="287"/>
      <c r="BF492" s="287"/>
      <c r="BG492" s="288">
        <v>10</v>
      </c>
      <c r="BH492" s="287"/>
      <c r="BI492" s="287"/>
      <c r="BJ492" s="287"/>
      <c r="BK492" s="287"/>
      <c r="BL492" s="287"/>
      <c r="BM492" s="287"/>
      <c r="BN492" s="287"/>
      <c r="BO492" s="287"/>
      <c r="BP492" s="287"/>
      <c r="BQ492" s="287"/>
      <c r="BR492" s="287"/>
      <c r="BS492" s="287"/>
      <c r="BT492" s="287"/>
      <c r="BU492" s="299">
        <v>15</v>
      </c>
      <c r="BV492" s="287"/>
      <c r="BW492" s="287"/>
      <c r="BX492" s="286"/>
      <c r="BY492" s="289"/>
      <c r="BZ492" s="289"/>
      <c r="CA492" s="289"/>
      <c r="CB492" s="289"/>
      <c r="CC492" s="289"/>
      <c r="CD492" s="289"/>
      <c r="CE492" s="289"/>
      <c r="CF492" s="289"/>
      <c r="CG492" s="287"/>
      <c r="CH492" s="287"/>
      <c r="CI492" s="287"/>
      <c r="CJ492" s="287"/>
      <c r="CK492" s="287"/>
      <c r="CL492" s="287"/>
      <c r="CM492" s="287"/>
      <c r="CN492" s="287"/>
      <c r="CO492" s="287"/>
      <c r="CP492" s="287"/>
      <c r="CQ492" s="287"/>
      <c r="CR492" s="287"/>
      <c r="CS492" s="288">
        <v>15</v>
      </c>
      <c r="CT492" s="6"/>
      <c r="CU492" s="6"/>
      <c r="CV492" s="6"/>
      <c r="CW492" s="6"/>
      <c r="CX492" s="6"/>
      <c r="CY492" s="6"/>
      <c r="CZ492" s="6"/>
      <c r="DA492" s="343">
        <f t="shared" si="20"/>
        <v>3.6</v>
      </c>
    </row>
    <row r="493" spans="1:105" ht="20" customHeight="1" x14ac:dyDescent="0.35">
      <c r="A493" s="290">
        <v>520792</v>
      </c>
      <c r="B493" s="270" t="s">
        <v>1012</v>
      </c>
      <c r="C493" s="270" t="s">
        <v>248</v>
      </c>
      <c r="D493" s="297" t="s">
        <v>513</v>
      </c>
      <c r="E493" s="270" t="s">
        <v>34</v>
      </c>
      <c r="F493" s="270" t="s">
        <v>2188</v>
      </c>
      <c r="G493" s="270" t="s">
        <v>44</v>
      </c>
      <c r="H493" s="298">
        <v>0.45</v>
      </c>
      <c r="I493" s="405">
        <v>5.5</v>
      </c>
      <c r="J493" s="286"/>
      <c r="K493" s="286"/>
      <c r="L493" s="286"/>
      <c r="M493" s="286"/>
      <c r="N493" s="286"/>
      <c r="O493" s="286"/>
      <c r="P493" s="286"/>
      <c r="Q493" s="289">
        <v>6</v>
      </c>
      <c r="R493" s="286"/>
      <c r="S493" s="286"/>
      <c r="T493" s="286"/>
      <c r="U493" s="286"/>
      <c r="V493" s="294"/>
      <c r="W493" s="286"/>
      <c r="X493" s="286"/>
      <c r="Y493" s="286"/>
      <c r="Z493" s="286"/>
      <c r="AA493" s="286"/>
      <c r="AB493" s="286"/>
      <c r="AC493" s="289"/>
      <c r="AD493" s="286"/>
      <c r="AE493" s="286"/>
      <c r="AF493" s="286"/>
      <c r="AG493" s="286"/>
      <c r="AH493" s="286"/>
      <c r="AI493" s="286"/>
      <c r="AJ493" s="289">
        <v>6</v>
      </c>
      <c r="AK493" s="295">
        <v>6</v>
      </c>
      <c r="AL493" s="288"/>
      <c r="AM493" s="287"/>
      <c r="AN493" s="287"/>
      <c r="AO493" s="287"/>
      <c r="AP493" s="286"/>
      <c r="AQ493" s="296">
        <v>6</v>
      </c>
      <c r="AR493" s="286"/>
      <c r="AS493" s="286"/>
      <c r="AT493" s="286"/>
      <c r="AU493" s="286"/>
      <c r="AV493" s="286"/>
      <c r="AW493" s="286"/>
      <c r="AX493" s="286"/>
      <c r="AY493" s="286"/>
      <c r="AZ493" s="286"/>
      <c r="BA493" s="286"/>
      <c r="BB493" s="286"/>
      <c r="BC493" s="286"/>
      <c r="BD493" s="287"/>
      <c r="BE493" s="287"/>
      <c r="BF493" s="287"/>
      <c r="BG493" s="288">
        <v>7</v>
      </c>
      <c r="BH493" s="287"/>
      <c r="BI493" s="287"/>
      <c r="BJ493" s="287"/>
      <c r="BK493" s="287"/>
      <c r="BL493" s="287"/>
      <c r="BM493" s="287"/>
      <c r="BN493" s="287"/>
      <c r="BO493" s="287"/>
      <c r="BP493" s="287"/>
      <c r="BQ493" s="287"/>
      <c r="BR493" s="287"/>
      <c r="BS493" s="287"/>
      <c r="BT493" s="287"/>
      <c r="BU493" s="287"/>
      <c r="BV493" s="287"/>
      <c r="BW493" s="287"/>
      <c r="BX493" s="286"/>
      <c r="BY493" s="289"/>
      <c r="BZ493" s="289"/>
      <c r="CA493" s="289">
        <v>7</v>
      </c>
      <c r="CB493" s="289"/>
      <c r="CC493" s="289"/>
      <c r="CD493" s="289"/>
      <c r="CE493" s="289"/>
      <c r="CF493" s="289"/>
      <c r="CG493" s="287"/>
      <c r="CH493" s="287"/>
      <c r="CI493" s="287"/>
      <c r="CJ493" s="287"/>
      <c r="CK493" s="287"/>
      <c r="CL493" s="287"/>
      <c r="CM493" s="287"/>
      <c r="CN493" s="287"/>
      <c r="CO493" s="287"/>
      <c r="CP493" s="287"/>
      <c r="CQ493" s="287"/>
      <c r="CR493" s="287"/>
      <c r="CS493" s="288">
        <v>0.5</v>
      </c>
      <c r="CT493" s="6"/>
      <c r="CU493" s="6"/>
      <c r="CV493" s="6"/>
      <c r="CW493" s="6"/>
      <c r="CX493" s="6"/>
      <c r="CY493" s="6"/>
      <c r="CZ493" s="6"/>
      <c r="DA493" s="343">
        <f t="shared" si="20"/>
        <v>0.45</v>
      </c>
    </row>
    <row r="494" spans="1:105" ht="20" customHeight="1" x14ac:dyDescent="0.35">
      <c r="A494" s="321">
        <v>520736</v>
      </c>
      <c r="B494" s="272" t="s">
        <v>1280</v>
      </c>
      <c r="C494" s="272" t="s">
        <v>1281</v>
      </c>
      <c r="D494" s="329" t="s">
        <v>513</v>
      </c>
      <c r="E494" s="272" t="s">
        <v>34</v>
      </c>
      <c r="F494" s="272" t="s">
        <v>62</v>
      </c>
      <c r="G494" s="270" t="s">
        <v>82</v>
      </c>
      <c r="H494" s="298">
        <f>1.6</f>
        <v>1.6</v>
      </c>
      <c r="I494" s="292">
        <v>2.5</v>
      </c>
      <c r="J494" s="330"/>
      <c r="K494" s="286"/>
      <c r="L494" s="286"/>
      <c r="M494" s="286"/>
      <c r="N494" s="286"/>
      <c r="O494" s="286"/>
      <c r="P494" s="286"/>
      <c r="Q494" s="286"/>
      <c r="R494" s="286"/>
      <c r="S494" s="286"/>
      <c r="T494" s="330"/>
      <c r="U494" s="286"/>
      <c r="V494" s="294"/>
      <c r="W494" s="286"/>
      <c r="X494" s="286"/>
      <c r="Y494" s="286"/>
      <c r="Z494" s="286"/>
      <c r="AA494" s="286"/>
      <c r="AB494" s="286"/>
      <c r="AC494" s="286"/>
      <c r="AD494" s="286"/>
      <c r="AE494" s="286"/>
      <c r="AF494" s="286"/>
      <c r="AG494" s="286"/>
      <c r="AH494" s="286"/>
      <c r="AI494" s="286"/>
      <c r="AJ494" s="286"/>
      <c r="AK494" s="331"/>
      <c r="AL494" s="288"/>
      <c r="AM494" s="287"/>
      <c r="AN494" s="287"/>
      <c r="AO494" s="287"/>
      <c r="AP494" s="286"/>
      <c r="AQ494" s="296"/>
      <c r="AR494" s="286"/>
      <c r="AS494" s="286"/>
      <c r="AT494" s="286"/>
      <c r="AU494" s="286"/>
      <c r="AV494" s="286"/>
      <c r="AW494" s="286"/>
      <c r="AX494" s="286"/>
      <c r="AY494" s="286"/>
      <c r="AZ494" s="286"/>
      <c r="BA494" s="286"/>
      <c r="BB494" s="286"/>
      <c r="BC494" s="286"/>
      <c r="BD494" s="287"/>
      <c r="BE494" s="287"/>
      <c r="BF494" s="287"/>
      <c r="BG494" s="287"/>
      <c r="BH494" s="287"/>
      <c r="BI494" s="287"/>
      <c r="BJ494" s="287"/>
      <c r="BK494" s="287"/>
      <c r="BL494" s="287"/>
      <c r="BM494" s="287"/>
      <c r="BN494" s="287"/>
      <c r="BO494" s="287"/>
      <c r="BP494" s="287"/>
      <c r="BQ494" s="287"/>
      <c r="BR494" s="287"/>
      <c r="BS494" s="287"/>
      <c r="BT494" s="287"/>
      <c r="BU494" s="287"/>
      <c r="BV494" s="287"/>
      <c r="BW494" s="287"/>
      <c r="BX494" s="286"/>
      <c r="BY494" s="289"/>
      <c r="BZ494" s="289"/>
      <c r="CA494" s="289"/>
      <c r="CB494" s="289"/>
      <c r="CC494" s="289"/>
      <c r="CD494" s="289"/>
      <c r="CE494" s="289"/>
      <c r="CF494" s="289"/>
      <c r="CG494" s="287"/>
      <c r="CH494" s="287"/>
      <c r="CI494" s="287"/>
      <c r="CJ494" s="287"/>
      <c r="CK494" s="287"/>
      <c r="CL494" s="287"/>
      <c r="CM494" s="287"/>
      <c r="CN494" s="287"/>
      <c r="CO494" s="287"/>
      <c r="CP494" s="287"/>
      <c r="CQ494" s="287"/>
      <c r="CR494" s="287"/>
      <c r="CS494" s="288">
        <v>2.5</v>
      </c>
      <c r="CT494" s="6"/>
      <c r="CU494" s="6"/>
      <c r="CV494" s="6"/>
      <c r="CW494" s="6"/>
      <c r="CX494" s="6"/>
      <c r="CY494" s="6"/>
      <c r="CZ494" s="6"/>
      <c r="DA494" s="343">
        <f t="shared" si="20"/>
        <v>1.6</v>
      </c>
    </row>
    <row r="495" spans="1:105" ht="20" customHeight="1" x14ac:dyDescent="0.35">
      <c r="A495" s="321" t="s">
        <v>2086</v>
      </c>
      <c r="B495" s="270" t="s">
        <v>1427</v>
      </c>
      <c r="C495" s="270" t="s">
        <v>1483</v>
      </c>
      <c r="D495" s="297" t="s">
        <v>513</v>
      </c>
      <c r="E495" s="270" t="s">
        <v>34</v>
      </c>
      <c r="F495" s="272" t="s">
        <v>62</v>
      </c>
      <c r="G495" s="270" t="s">
        <v>39</v>
      </c>
      <c r="H495" s="298">
        <f>34/15</f>
        <v>2.2666666666666666</v>
      </c>
      <c r="I495" s="292">
        <v>3.8</v>
      </c>
      <c r="J495" s="330"/>
      <c r="K495" s="286"/>
      <c r="L495" s="286"/>
      <c r="M495" s="286"/>
      <c r="N495" s="286"/>
      <c r="O495" s="286"/>
      <c r="P495" s="286"/>
      <c r="Q495" s="286"/>
      <c r="R495" s="286"/>
      <c r="S495" s="286"/>
      <c r="T495" s="330"/>
      <c r="U495" s="286"/>
      <c r="V495" s="294"/>
      <c r="W495" s="286"/>
      <c r="X495" s="286"/>
      <c r="Y495" s="286"/>
      <c r="Z495" s="286"/>
      <c r="AA495" s="286"/>
      <c r="AB495" s="286"/>
      <c r="AC495" s="286"/>
      <c r="AD495" s="286"/>
      <c r="AE495" s="286"/>
      <c r="AF495" s="286"/>
      <c r="AG495" s="286"/>
      <c r="AH495" s="286"/>
      <c r="AI495" s="286"/>
      <c r="AJ495" s="286"/>
      <c r="AK495" s="295"/>
      <c r="AL495" s="288"/>
      <c r="AM495" s="287"/>
      <c r="AN495" s="287"/>
      <c r="AO495" s="287"/>
      <c r="AP495" s="286"/>
      <c r="AQ495" s="296"/>
      <c r="AR495" s="286"/>
      <c r="AS495" s="286"/>
      <c r="AT495" s="286"/>
      <c r="AU495" s="286"/>
      <c r="AV495" s="286"/>
      <c r="AW495" s="286"/>
      <c r="AX495" s="286"/>
      <c r="AY495" s="286"/>
      <c r="AZ495" s="286"/>
      <c r="BA495" s="286"/>
      <c r="BB495" s="286"/>
      <c r="BC495" s="286"/>
      <c r="BD495" s="287"/>
      <c r="BE495" s="287"/>
      <c r="BF495" s="287"/>
      <c r="BG495" s="288">
        <v>3.6</v>
      </c>
      <c r="BH495" s="287"/>
      <c r="BI495" s="287"/>
      <c r="BJ495" s="287"/>
      <c r="BK495" s="287"/>
      <c r="BL495" s="287"/>
      <c r="BM495" s="287"/>
      <c r="BN495" s="287"/>
      <c r="BO495" s="287"/>
      <c r="BP495" s="287"/>
      <c r="BQ495" s="287"/>
      <c r="BR495" s="287"/>
      <c r="BS495" s="287"/>
      <c r="BT495" s="287"/>
      <c r="BU495" s="287"/>
      <c r="BV495" s="287"/>
      <c r="BW495" s="287"/>
      <c r="BX495" s="286"/>
      <c r="BY495" s="289"/>
      <c r="BZ495" s="289"/>
      <c r="CA495" s="289"/>
      <c r="CB495" s="289"/>
      <c r="CC495" s="289"/>
      <c r="CD495" s="289"/>
      <c r="CE495" s="289"/>
      <c r="CF495" s="289"/>
      <c r="CG495" s="287"/>
      <c r="CH495" s="287"/>
      <c r="CI495" s="287"/>
      <c r="CJ495" s="287"/>
      <c r="CK495" s="287"/>
      <c r="CL495" s="287"/>
      <c r="CM495" s="287"/>
      <c r="CN495" s="287"/>
      <c r="CO495" s="287"/>
      <c r="CP495" s="287"/>
      <c r="CQ495" s="287">
        <v>3.8</v>
      </c>
      <c r="CR495" s="287"/>
      <c r="CS495" s="288">
        <v>4.5</v>
      </c>
      <c r="CT495" s="6"/>
      <c r="CU495" s="6"/>
      <c r="CV495" s="6"/>
      <c r="CW495" s="6"/>
      <c r="CX495" s="6"/>
      <c r="CY495" s="6"/>
      <c r="CZ495" s="6"/>
      <c r="DA495" s="343">
        <f t="shared" si="20"/>
        <v>2.2666666666666666</v>
      </c>
    </row>
    <row r="496" spans="1:105" ht="20" customHeight="1" x14ac:dyDescent="0.35">
      <c r="A496" s="321"/>
      <c r="B496" s="274" t="s">
        <v>1448</v>
      </c>
      <c r="C496" s="274" t="s">
        <v>1449</v>
      </c>
      <c r="D496" s="332" t="s">
        <v>1117</v>
      </c>
      <c r="E496" s="274"/>
      <c r="F496" s="274" t="s">
        <v>62</v>
      </c>
      <c r="G496" s="270" t="s">
        <v>130</v>
      </c>
      <c r="H496" s="298">
        <f>16/5</f>
        <v>3.2</v>
      </c>
      <c r="I496" s="292">
        <v>4.8</v>
      </c>
      <c r="J496" s="330"/>
      <c r="K496" s="286"/>
      <c r="L496" s="286"/>
      <c r="M496" s="286"/>
      <c r="N496" s="286"/>
      <c r="O496" s="286"/>
      <c r="P496" s="286"/>
      <c r="Q496" s="286"/>
      <c r="R496" s="286"/>
      <c r="S496" s="286"/>
      <c r="T496" s="330"/>
      <c r="U496" s="286"/>
      <c r="V496" s="294"/>
      <c r="W496" s="286"/>
      <c r="X496" s="286"/>
      <c r="Y496" s="286"/>
      <c r="Z496" s="286"/>
      <c r="AA496" s="286"/>
      <c r="AB496" s="286"/>
      <c r="AC496" s="286"/>
      <c r="AD496" s="286"/>
      <c r="AE496" s="286"/>
      <c r="AF496" s="286"/>
      <c r="AG496" s="286"/>
      <c r="AH496" s="286"/>
      <c r="AI496" s="286"/>
      <c r="AJ496" s="286"/>
      <c r="AK496" s="333"/>
      <c r="AL496" s="288"/>
      <c r="AM496" s="287"/>
      <c r="AN496" s="287"/>
      <c r="AO496" s="287"/>
      <c r="AP496" s="286"/>
      <c r="AQ496" s="296"/>
      <c r="AR496" s="286"/>
      <c r="AS496" s="286"/>
      <c r="AT496" s="286"/>
      <c r="AU496" s="286"/>
      <c r="AV496" s="286"/>
      <c r="AW496" s="286"/>
      <c r="AX496" s="286"/>
      <c r="AY496" s="286"/>
      <c r="AZ496" s="286"/>
      <c r="BA496" s="286"/>
      <c r="BB496" s="286"/>
      <c r="BC496" s="286"/>
      <c r="BD496" s="287"/>
      <c r="BE496" s="287"/>
      <c r="BF496" s="287"/>
      <c r="BG496" s="288">
        <v>4</v>
      </c>
      <c r="BH496" s="287"/>
      <c r="BI496" s="287"/>
      <c r="BJ496" s="287"/>
      <c r="BK496" s="287"/>
      <c r="BL496" s="287"/>
      <c r="BM496" s="287"/>
      <c r="BN496" s="287"/>
      <c r="BO496" s="287"/>
      <c r="BP496" s="287"/>
      <c r="BQ496" s="287"/>
      <c r="BR496" s="287"/>
      <c r="BS496" s="287"/>
      <c r="BT496" s="287"/>
      <c r="BU496" s="287"/>
      <c r="BV496" s="287"/>
      <c r="BW496" s="287"/>
      <c r="BX496" s="286"/>
      <c r="BY496" s="289"/>
      <c r="BZ496" s="289"/>
      <c r="CA496" s="289"/>
      <c r="CB496" s="289"/>
      <c r="CC496" s="289"/>
      <c r="CD496" s="289"/>
      <c r="CE496" s="289"/>
      <c r="CF496" s="289"/>
      <c r="CG496" s="287"/>
      <c r="CH496" s="287"/>
      <c r="CI496" s="287"/>
      <c r="CJ496" s="287"/>
      <c r="CK496" s="287"/>
      <c r="CL496" s="287"/>
      <c r="CM496" s="287"/>
      <c r="CN496" s="287"/>
      <c r="CO496" s="287"/>
      <c r="CP496" s="287"/>
      <c r="CQ496" s="287"/>
      <c r="CR496" s="287"/>
      <c r="CS496" s="288">
        <v>4.8</v>
      </c>
      <c r="CT496" s="6"/>
      <c r="CU496" s="6"/>
      <c r="CV496" s="6"/>
      <c r="CW496" s="6"/>
      <c r="CX496" s="6"/>
      <c r="CY496" s="6"/>
      <c r="CZ496" s="6"/>
      <c r="DA496" s="343">
        <f t="shared" si="20"/>
        <v>3.2</v>
      </c>
    </row>
    <row r="497" spans="1:105" ht="20" customHeight="1" x14ac:dyDescent="0.35">
      <c r="A497" s="290"/>
      <c r="B497" s="274" t="s">
        <v>1680</v>
      </c>
      <c r="C497" s="274" t="s">
        <v>1682</v>
      </c>
      <c r="D497" s="332" t="s">
        <v>34</v>
      </c>
      <c r="E497" s="332" t="s">
        <v>632</v>
      </c>
      <c r="F497" s="272" t="s">
        <v>62</v>
      </c>
      <c r="G497" s="334" t="s">
        <v>31</v>
      </c>
      <c r="H497" s="298">
        <v>2.2000000000000002</v>
      </c>
      <c r="I497" s="292">
        <v>3.3</v>
      </c>
      <c r="J497" s="330"/>
      <c r="K497" s="286"/>
      <c r="L497" s="286"/>
      <c r="M497" s="286"/>
      <c r="N497" s="286"/>
      <c r="O497" s="286"/>
      <c r="P497" s="286"/>
      <c r="Q497" s="286"/>
      <c r="R497" s="286"/>
      <c r="S497" s="286"/>
      <c r="T497" s="330"/>
      <c r="U497" s="286"/>
      <c r="V497" s="294"/>
      <c r="W497" s="286"/>
      <c r="X497" s="286"/>
      <c r="Y497" s="286"/>
      <c r="Z497" s="286"/>
      <c r="AA497" s="286"/>
      <c r="AB497" s="286"/>
      <c r="AC497" s="286"/>
      <c r="AD497" s="286"/>
      <c r="AE497" s="286"/>
      <c r="AF497" s="286"/>
      <c r="AG497" s="286"/>
      <c r="AH497" s="286"/>
      <c r="AI497" s="286"/>
      <c r="AJ497" s="335"/>
      <c r="AK497" s="333"/>
      <c r="AL497" s="336"/>
      <c r="AM497" s="287"/>
      <c r="AN497" s="287"/>
      <c r="AO497" s="287"/>
      <c r="AP497" s="286"/>
      <c r="AQ497" s="296"/>
      <c r="AR497" s="286"/>
      <c r="AS497" s="286"/>
      <c r="AT497" s="286"/>
      <c r="AU497" s="286"/>
      <c r="AV497" s="286"/>
      <c r="AW497" s="286"/>
      <c r="AX497" s="286"/>
      <c r="AY497" s="286"/>
      <c r="AZ497" s="286"/>
      <c r="BA497" s="286"/>
      <c r="BB497" s="286"/>
      <c r="BC497" s="286"/>
      <c r="BD497" s="287"/>
      <c r="BE497" s="287"/>
      <c r="BF497" s="287"/>
      <c r="BG497" s="288"/>
      <c r="BH497" s="287"/>
      <c r="BI497" s="287"/>
      <c r="BJ497" s="287"/>
      <c r="BK497" s="287"/>
      <c r="BL497" s="287"/>
      <c r="BM497" s="287"/>
      <c r="BN497" s="287"/>
      <c r="BO497" s="287"/>
      <c r="BP497" s="287"/>
      <c r="BQ497" s="287"/>
      <c r="BR497" s="287"/>
      <c r="BS497" s="287"/>
      <c r="BT497" s="287"/>
      <c r="BU497" s="287"/>
      <c r="BV497" s="287"/>
      <c r="BW497" s="287"/>
      <c r="BX497" s="286"/>
      <c r="BY497" s="289"/>
      <c r="BZ497" s="289"/>
      <c r="CA497" s="289"/>
      <c r="CB497" s="289"/>
      <c r="CC497" s="289"/>
      <c r="CD497" s="289"/>
      <c r="CE497" s="289"/>
      <c r="CF497" s="289"/>
      <c r="CG497" s="287"/>
      <c r="CH497" s="287"/>
      <c r="CI497" s="287"/>
      <c r="CJ497" s="287"/>
      <c r="CK497" s="287"/>
      <c r="CL497" s="287"/>
      <c r="CM497" s="287"/>
      <c r="CN497" s="287"/>
      <c r="CO497" s="287"/>
      <c r="CP497" s="287"/>
      <c r="CQ497" s="287"/>
      <c r="CR497" s="287"/>
      <c r="CS497" s="288"/>
      <c r="CT497" s="6"/>
      <c r="CU497" s="6"/>
      <c r="CV497" s="6"/>
      <c r="CW497" s="6"/>
      <c r="CX497" s="6"/>
      <c r="CY497" s="6"/>
      <c r="CZ497" s="6"/>
      <c r="DA497" s="343">
        <f t="shared" si="20"/>
        <v>2.2000000000000002</v>
      </c>
    </row>
    <row r="498" spans="1:105" ht="20" customHeight="1" x14ac:dyDescent="0.35">
      <c r="A498" s="290" t="s">
        <v>2110</v>
      </c>
      <c r="B498" s="274" t="s">
        <v>2100</v>
      </c>
      <c r="C498" s="274" t="s">
        <v>2101</v>
      </c>
      <c r="D498" s="270" t="s">
        <v>604</v>
      </c>
      <c r="E498" s="332" t="s">
        <v>34</v>
      </c>
      <c r="F498" s="272" t="s">
        <v>2099</v>
      </c>
      <c r="G498" s="334" t="s">
        <v>39</v>
      </c>
      <c r="H498" s="298">
        <v>1.9</v>
      </c>
      <c r="I498" s="292"/>
      <c r="J498" s="330"/>
      <c r="K498" s="286"/>
      <c r="L498" s="286"/>
      <c r="M498" s="286"/>
      <c r="N498" s="286"/>
      <c r="O498" s="286"/>
      <c r="P498" s="286"/>
      <c r="Q498" s="286"/>
      <c r="R498" s="286"/>
      <c r="S498" s="286"/>
      <c r="T498" s="330"/>
      <c r="U498" s="286"/>
      <c r="V498" s="294"/>
      <c r="W498" s="286"/>
      <c r="X498" s="286"/>
      <c r="Y498" s="286"/>
      <c r="Z498" s="286"/>
      <c r="AA498" s="286"/>
      <c r="AB498" s="286"/>
      <c r="AC498" s="286"/>
      <c r="AD498" s="286"/>
      <c r="AE498" s="286"/>
      <c r="AF498" s="286"/>
      <c r="AG498" s="286"/>
      <c r="AH498" s="286"/>
      <c r="AI498" s="286"/>
      <c r="AJ498" s="335"/>
      <c r="AK498" s="333"/>
      <c r="AL498" s="336"/>
      <c r="AM498" s="287"/>
      <c r="AN498" s="287"/>
      <c r="AO498" s="287"/>
      <c r="AP498" s="286"/>
      <c r="AQ498" s="296"/>
      <c r="AR498" s="286"/>
      <c r="AS498" s="286"/>
      <c r="AT498" s="286"/>
      <c r="AU498" s="286"/>
      <c r="AV498" s="286"/>
      <c r="AW498" s="286"/>
      <c r="AX498" s="286"/>
      <c r="AY498" s="286"/>
      <c r="AZ498" s="286"/>
      <c r="BA498" s="286"/>
      <c r="BB498" s="286"/>
      <c r="BC498" s="286"/>
      <c r="BD498" s="287"/>
      <c r="BE498" s="287"/>
      <c r="BF498" s="287"/>
      <c r="BG498" s="288"/>
      <c r="BH498" s="287"/>
      <c r="BI498" s="287"/>
      <c r="BJ498" s="287"/>
      <c r="BK498" s="287"/>
      <c r="BL498" s="287"/>
      <c r="BM498" s="287"/>
      <c r="BN498" s="287"/>
      <c r="BO498" s="287"/>
      <c r="BP498" s="287"/>
      <c r="BQ498" s="287"/>
      <c r="BR498" s="287"/>
      <c r="BS498" s="287"/>
      <c r="BT498" s="287"/>
      <c r="BU498" s="287"/>
      <c r="BV498" s="287"/>
      <c r="BW498" s="287"/>
      <c r="BX498" s="286"/>
      <c r="BY498" s="289"/>
      <c r="BZ498" s="289"/>
      <c r="CA498" s="289"/>
      <c r="CB498" s="289"/>
      <c r="CC498" s="289"/>
      <c r="CD498" s="289"/>
      <c r="CE498" s="289"/>
      <c r="CF498" s="289"/>
      <c r="CG498" s="287"/>
      <c r="CH498" s="287"/>
      <c r="CI498" s="287"/>
      <c r="CJ498" s="287"/>
      <c r="CK498" s="287"/>
      <c r="CL498" s="287"/>
      <c r="CM498" s="394"/>
      <c r="CN498" s="287"/>
      <c r="CO498" s="394"/>
      <c r="CP498" s="287"/>
      <c r="CQ498" s="287">
        <v>4</v>
      </c>
      <c r="CR498" s="287"/>
      <c r="CS498" s="288"/>
      <c r="CT498" s="6"/>
      <c r="CU498" s="6"/>
      <c r="CV498" s="6"/>
      <c r="CW498" s="6"/>
      <c r="CX498" s="6"/>
      <c r="CY498" s="6"/>
      <c r="CZ498" s="6"/>
      <c r="DA498" s="343">
        <f t="shared" si="20"/>
        <v>1.9</v>
      </c>
    </row>
    <row r="499" spans="1:105" ht="20" customHeight="1" x14ac:dyDescent="0.35">
      <c r="A499" s="290"/>
      <c r="B499" s="274" t="s">
        <v>2113</v>
      </c>
      <c r="C499" s="274" t="s">
        <v>2114</v>
      </c>
      <c r="D499" s="332" t="s">
        <v>34</v>
      </c>
      <c r="E499" s="332" t="s">
        <v>632</v>
      </c>
      <c r="F499" s="272" t="s">
        <v>613</v>
      </c>
      <c r="G499" s="334" t="s">
        <v>31</v>
      </c>
      <c r="H499" s="298"/>
      <c r="I499" s="292">
        <v>40</v>
      </c>
      <c r="J499" s="330"/>
      <c r="K499" s="286"/>
      <c r="L499" s="286"/>
      <c r="M499" s="286"/>
      <c r="N499" s="286"/>
      <c r="O499" s="286"/>
      <c r="P499" s="286"/>
      <c r="Q499" s="286"/>
      <c r="R499" s="286"/>
      <c r="S499" s="286"/>
      <c r="T499" s="330"/>
      <c r="U499" s="286"/>
      <c r="V499" s="294"/>
      <c r="W499" s="286"/>
      <c r="X499" s="286"/>
      <c r="Y499" s="286"/>
      <c r="Z499" s="286"/>
      <c r="AA499" s="286"/>
      <c r="AB499" s="286"/>
      <c r="AC499" s="286"/>
      <c r="AD499" s="286"/>
      <c r="AE499" s="286"/>
      <c r="AF499" s="286"/>
      <c r="AG499" s="286"/>
      <c r="AH499" s="286"/>
      <c r="AI499" s="286"/>
      <c r="AJ499" s="335"/>
      <c r="AK499" s="333"/>
      <c r="AL499" s="336"/>
      <c r="AM499" s="287"/>
      <c r="AN499" s="287"/>
      <c r="AO499" s="287"/>
      <c r="AP499" s="286"/>
      <c r="AQ499" s="296"/>
      <c r="AR499" s="286"/>
      <c r="AS499" s="286"/>
      <c r="AT499" s="286"/>
      <c r="AU499" s="286"/>
      <c r="AV499" s="286"/>
      <c r="AW499" s="286"/>
      <c r="AX499" s="286"/>
      <c r="AY499" s="286"/>
      <c r="AZ499" s="286"/>
      <c r="BA499" s="286"/>
      <c r="BB499" s="286"/>
      <c r="BC499" s="286"/>
      <c r="BD499" s="287"/>
      <c r="BE499" s="287"/>
      <c r="BF499" s="287"/>
      <c r="BG499" s="288"/>
      <c r="BH499" s="287"/>
      <c r="BI499" s="287"/>
      <c r="BJ499" s="287"/>
      <c r="BK499" s="287"/>
      <c r="BL499" s="287"/>
      <c r="BM499" s="287"/>
      <c r="BN499" s="287"/>
      <c r="BO499" s="287"/>
      <c r="BP499" s="287"/>
      <c r="BQ499" s="287"/>
      <c r="BR499" s="287"/>
      <c r="BS499" s="287"/>
      <c r="BT499" s="287"/>
      <c r="BU499" s="287"/>
      <c r="BV499" s="287"/>
      <c r="BW499" s="287"/>
      <c r="BX499" s="286"/>
      <c r="BY499" s="289"/>
      <c r="BZ499" s="289"/>
      <c r="CA499" s="289"/>
      <c r="CB499" s="289"/>
      <c r="CC499" s="289"/>
      <c r="CD499" s="289"/>
      <c r="CE499" s="289"/>
      <c r="CF499" s="289"/>
      <c r="CG499" s="287"/>
      <c r="CH499" s="287"/>
      <c r="CI499" s="287"/>
      <c r="CJ499" s="287"/>
      <c r="CK499" s="287"/>
      <c r="CL499" s="287"/>
      <c r="CM499" s="287"/>
      <c r="CN499" s="287"/>
      <c r="CO499" s="287"/>
      <c r="CP499" s="287"/>
      <c r="CQ499" s="287"/>
      <c r="CR499" s="287"/>
      <c r="CS499" s="288"/>
      <c r="CT499" s="6"/>
      <c r="CU499" s="6"/>
      <c r="CV499" s="6"/>
      <c r="CW499" s="6"/>
      <c r="CX499" s="6"/>
      <c r="CY499" s="6"/>
      <c r="CZ499" s="6"/>
      <c r="DA499" s="343">
        <f>H499</f>
        <v>0</v>
      </c>
    </row>
    <row r="500" spans="1:105" ht="20" customHeight="1" x14ac:dyDescent="0.35">
      <c r="A500" s="290" t="s">
        <v>1062</v>
      </c>
      <c r="B500" s="270" t="s">
        <v>1017</v>
      </c>
      <c r="C500" s="270" t="s">
        <v>1681</v>
      </c>
      <c r="D500" s="297" t="s">
        <v>604</v>
      </c>
      <c r="E500" s="270" t="s">
        <v>401</v>
      </c>
      <c r="F500" s="270" t="s">
        <v>1638</v>
      </c>
      <c r="G500" s="334" t="s">
        <v>40</v>
      </c>
      <c r="H500" s="298">
        <f>22.08/12</f>
        <v>1.8399999999999999</v>
      </c>
      <c r="I500" s="292">
        <v>2.2999999999999998</v>
      </c>
      <c r="J500" s="342">
        <v>2.5</v>
      </c>
      <c r="K500" s="286"/>
      <c r="L500" s="286">
        <v>2.8</v>
      </c>
      <c r="M500" s="286">
        <v>2.8</v>
      </c>
      <c r="N500" s="292">
        <v>2.5</v>
      </c>
      <c r="O500" s="286">
        <v>2.5</v>
      </c>
      <c r="P500" s="292">
        <v>2.5</v>
      </c>
      <c r="Q500" s="286">
        <v>2.5</v>
      </c>
      <c r="R500" s="286">
        <v>2.5</v>
      </c>
      <c r="S500" s="286">
        <v>3</v>
      </c>
      <c r="T500" s="330">
        <v>2.5</v>
      </c>
      <c r="U500" s="286"/>
      <c r="V500" s="294"/>
      <c r="W500" s="286"/>
      <c r="X500" s="286"/>
      <c r="Y500" s="286"/>
      <c r="Z500" s="286"/>
      <c r="AA500" s="286"/>
      <c r="AB500" s="286"/>
      <c r="AC500" s="286"/>
      <c r="AD500" s="286"/>
      <c r="AE500" s="286"/>
      <c r="AF500" s="286"/>
      <c r="AG500" s="286"/>
      <c r="AH500" s="286"/>
      <c r="AI500" s="286">
        <v>2.5</v>
      </c>
      <c r="AJ500" s="335">
        <v>3</v>
      </c>
      <c r="AK500" s="295">
        <v>2.5</v>
      </c>
      <c r="AL500" s="336">
        <v>2.5</v>
      </c>
      <c r="AM500" s="287">
        <v>2.8</v>
      </c>
      <c r="AN500" s="287"/>
      <c r="AO500" s="287"/>
      <c r="AP500" s="286">
        <v>2.5</v>
      </c>
      <c r="AQ500" s="296">
        <v>2.8</v>
      </c>
      <c r="AR500" s="286">
        <v>2.5</v>
      </c>
      <c r="AS500" s="286"/>
      <c r="AT500" s="286">
        <v>2.5</v>
      </c>
      <c r="AU500" s="286">
        <v>2.5</v>
      </c>
      <c r="AV500" s="286">
        <v>2.5</v>
      </c>
      <c r="AW500" s="286">
        <v>2.5</v>
      </c>
      <c r="AX500" s="286">
        <v>2.5</v>
      </c>
      <c r="AY500" s="286">
        <v>2.5</v>
      </c>
      <c r="AZ500" s="286">
        <v>2.5</v>
      </c>
      <c r="BA500" s="286">
        <v>2.5</v>
      </c>
      <c r="BB500" s="286">
        <f>BA500</f>
        <v>2.5</v>
      </c>
      <c r="BC500" s="286">
        <v>2.5</v>
      </c>
      <c r="BD500" s="287"/>
      <c r="BE500" s="287"/>
      <c r="BF500" s="287"/>
      <c r="BG500" s="288">
        <v>2.8</v>
      </c>
      <c r="BH500" s="287"/>
      <c r="BI500" s="287"/>
      <c r="BJ500" s="287"/>
      <c r="BK500" s="287"/>
      <c r="BL500" s="287"/>
      <c r="BM500" s="287"/>
      <c r="BN500" s="287"/>
      <c r="BO500" s="287"/>
      <c r="BP500" s="287"/>
      <c r="BQ500" s="287"/>
      <c r="BR500" s="287"/>
      <c r="BS500" s="287"/>
      <c r="BT500" s="287"/>
      <c r="BU500" s="287">
        <v>2.5</v>
      </c>
      <c r="BV500" s="287"/>
      <c r="BW500" s="287"/>
      <c r="BX500" s="286">
        <v>2.5</v>
      </c>
      <c r="BY500" s="289"/>
      <c r="BZ500" s="289">
        <v>2.5</v>
      </c>
      <c r="CA500" s="289"/>
      <c r="CB500" s="289">
        <v>3</v>
      </c>
      <c r="CC500" s="289"/>
      <c r="CD500" s="289"/>
      <c r="CE500" s="289"/>
      <c r="CF500" s="289"/>
      <c r="CG500" s="287"/>
      <c r="CH500" s="287"/>
      <c r="CI500" s="287"/>
      <c r="CJ500" s="287"/>
      <c r="CK500" s="287"/>
      <c r="CL500" s="287"/>
      <c r="CM500" s="342">
        <v>2.5</v>
      </c>
      <c r="CN500" s="342">
        <v>2.5</v>
      </c>
      <c r="CO500" s="342">
        <v>2.5</v>
      </c>
      <c r="CP500" s="287"/>
      <c r="CQ500" s="287">
        <v>2.5</v>
      </c>
      <c r="CR500" s="287">
        <v>2.8</v>
      </c>
      <c r="CS500" s="288">
        <v>2.2999999999999998</v>
      </c>
      <c r="CT500" s="6"/>
      <c r="CU500" s="6"/>
      <c r="CV500" s="6"/>
      <c r="CW500" s="6"/>
      <c r="CX500" s="6"/>
      <c r="CY500" s="6"/>
      <c r="CZ500" s="6"/>
      <c r="DA500" s="343">
        <f t="shared" si="20"/>
        <v>1.8399999999999999</v>
      </c>
    </row>
    <row r="501" spans="1:105" ht="20" customHeight="1" x14ac:dyDescent="0.35">
      <c r="A501" s="290" t="s">
        <v>2095</v>
      </c>
      <c r="B501" s="270" t="s">
        <v>1017</v>
      </c>
      <c r="C501" s="270" t="s">
        <v>1681</v>
      </c>
      <c r="D501" s="297" t="s">
        <v>604</v>
      </c>
      <c r="E501" s="270" t="s">
        <v>401</v>
      </c>
      <c r="F501" s="270" t="s">
        <v>1638</v>
      </c>
      <c r="G501" s="334" t="s">
        <v>40</v>
      </c>
      <c r="H501" s="298">
        <f>22.08/12</f>
        <v>1.8399999999999999</v>
      </c>
      <c r="I501" s="292"/>
      <c r="J501" s="342"/>
      <c r="K501" s="286"/>
      <c r="L501" s="286"/>
      <c r="M501" s="286"/>
      <c r="N501" s="292"/>
      <c r="O501" s="286"/>
      <c r="P501" s="292"/>
      <c r="Q501" s="286"/>
      <c r="R501" s="286"/>
      <c r="S501" s="286"/>
      <c r="T501" s="330"/>
      <c r="U501" s="286"/>
      <c r="V501" s="294"/>
      <c r="W501" s="286"/>
      <c r="X501" s="286"/>
      <c r="Y501" s="286"/>
      <c r="Z501" s="286"/>
      <c r="AA501" s="286"/>
      <c r="AB501" s="286"/>
      <c r="AC501" s="286"/>
      <c r="AD501" s="286"/>
      <c r="AE501" s="286"/>
      <c r="AF501" s="286"/>
      <c r="AG501" s="286"/>
      <c r="AH501" s="286"/>
      <c r="AI501" s="286"/>
      <c r="AJ501" s="335"/>
      <c r="AK501" s="295"/>
      <c r="AL501" s="336"/>
      <c r="AM501" s="287"/>
      <c r="AN501" s="287"/>
      <c r="AO501" s="287"/>
      <c r="AP501" s="286"/>
      <c r="AQ501" s="296"/>
      <c r="AR501" s="286"/>
      <c r="AS501" s="286"/>
      <c r="AT501" s="286"/>
      <c r="AU501" s="286"/>
      <c r="AV501" s="286"/>
      <c r="AW501" s="286"/>
      <c r="AX501" s="286"/>
      <c r="AY501" s="286"/>
      <c r="AZ501" s="286"/>
      <c r="BA501" s="286"/>
      <c r="BB501" s="286"/>
      <c r="BC501" s="286"/>
      <c r="BD501" s="287"/>
      <c r="BE501" s="287"/>
      <c r="BF501" s="287"/>
      <c r="BG501" s="288"/>
      <c r="BH501" s="287"/>
      <c r="BI501" s="287"/>
      <c r="BJ501" s="287"/>
      <c r="BK501" s="287"/>
      <c r="BL501" s="287"/>
      <c r="BM501" s="287"/>
      <c r="BN501" s="287"/>
      <c r="BO501" s="287"/>
      <c r="BP501" s="287"/>
      <c r="BQ501" s="287"/>
      <c r="BR501" s="287"/>
      <c r="BS501" s="287"/>
      <c r="BT501" s="287"/>
      <c r="BU501" s="287"/>
      <c r="BV501" s="287"/>
      <c r="BW501" s="287"/>
      <c r="BX501" s="286"/>
      <c r="BY501" s="289"/>
      <c r="BZ501" s="289"/>
      <c r="CA501" s="289"/>
      <c r="CB501" s="289"/>
      <c r="CC501" s="289"/>
      <c r="CD501" s="289"/>
      <c r="CE501" s="289"/>
      <c r="CF501" s="289"/>
      <c r="CG501" s="287"/>
      <c r="CH501" s="287"/>
      <c r="CI501" s="287"/>
      <c r="CJ501" s="287"/>
      <c r="CK501" s="287"/>
      <c r="CL501" s="287"/>
      <c r="CM501" s="342"/>
      <c r="CN501" s="287"/>
      <c r="CO501" s="342"/>
      <c r="CP501" s="287"/>
      <c r="CQ501" s="287">
        <v>2.5</v>
      </c>
      <c r="CR501" s="287">
        <v>2.8</v>
      </c>
      <c r="CS501" s="288">
        <v>2.2999999999999998</v>
      </c>
      <c r="CT501" s="6"/>
      <c r="CU501" s="6"/>
      <c r="CV501" s="6"/>
      <c r="CW501" s="6"/>
      <c r="CX501" s="6"/>
      <c r="CY501" s="6"/>
      <c r="CZ501" s="6"/>
      <c r="DA501" s="343">
        <f>H501</f>
        <v>1.8399999999999999</v>
      </c>
    </row>
    <row r="502" spans="1:105" ht="20" customHeight="1" x14ac:dyDescent="0.35">
      <c r="A502" s="290" t="s">
        <v>73</v>
      </c>
      <c r="B502" s="270" t="s">
        <v>1018</v>
      </c>
      <c r="C502" s="270" t="s">
        <v>1681</v>
      </c>
      <c r="D502" s="297" t="s">
        <v>604</v>
      </c>
      <c r="E502" s="270" t="s">
        <v>402</v>
      </c>
      <c r="F502" s="270" t="s">
        <v>1638</v>
      </c>
      <c r="G502" s="334" t="s">
        <v>91</v>
      </c>
      <c r="H502" s="298">
        <f>22.08/12</f>
        <v>1.8399999999999999</v>
      </c>
      <c r="I502" s="292">
        <v>2.2999999999999998</v>
      </c>
      <c r="J502" s="342">
        <v>2.5</v>
      </c>
      <c r="K502" s="286"/>
      <c r="L502" s="286">
        <v>2.8</v>
      </c>
      <c r="M502" s="286">
        <v>2.8</v>
      </c>
      <c r="N502" s="292">
        <v>2.5</v>
      </c>
      <c r="O502" s="286">
        <v>2.5</v>
      </c>
      <c r="P502" s="292">
        <v>2.5</v>
      </c>
      <c r="Q502" s="286">
        <v>2.5</v>
      </c>
      <c r="R502" s="286">
        <v>2.5</v>
      </c>
      <c r="S502" s="286">
        <v>3</v>
      </c>
      <c r="T502" s="330">
        <v>2.5</v>
      </c>
      <c r="U502" s="286"/>
      <c r="V502" s="294"/>
      <c r="W502" s="286"/>
      <c r="X502" s="286"/>
      <c r="Y502" s="286"/>
      <c r="Z502" s="286"/>
      <c r="AA502" s="286"/>
      <c r="AB502" s="286"/>
      <c r="AC502" s="286"/>
      <c r="AD502" s="286"/>
      <c r="AE502" s="286"/>
      <c r="AF502" s="286"/>
      <c r="AG502" s="286"/>
      <c r="AH502" s="286"/>
      <c r="AI502" s="286">
        <v>2.5</v>
      </c>
      <c r="AJ502" s="335">
        <v>3</v>
      </c>
      <c r="AK502" s="295">
        <v>2.5</v>
      </c>
      <c r="AL502" s="336">
        <v>2.5</v>
      </c>
      <c r="AM502" s="287">
        <v>2.8</v>
      </c>
      <c r="AN502" s="287"/>
      <c r="AO502" s="287"/>
      <c r="AP502" s="286">
        <v>2.5</v>
      </c>
      <c r="AQ502" s="296">
        <v>2.8</v>
      </c>
      <c r="AR502" s="286">
        <v>2.5</v>
      </c>
      <c r="AS502" s="286"/>
      <c r="AT502" s="286">
        <v>2.5</v>
      </c>
      <c r="AU502" s="286">
        <v>2.5</v>
      </c>
      <c r="AV502" s="286">
        <v>2.5</v>
      </c>
      <c r="AW502" s="286">
        <v>2.5</v>
      </c>
      <c r="AX502" s="286">
        <v>2.5</v>
      </c>
      <c r="AY502" s="286">
        <v>2.5</v>
      </c>
      <c r="AZ502" s="286">
        <v>2.5</v>
      </c>
      <c r="BA502" s="286">
        <v>2.5</v>
      </c>
      <c r="BB502" s="286">
        <f>BA502</f>
        <v>2.5</v>
      </c>
      <c r="BC502" s="286">
        <v>2.5</v>
      </c>
      <c r="BD502" s="287"/>
      <c r="BE502" s="287"/>
      <c r="BF502" s="287"/>
      <c r="BG502" s="288">
        <v>2.8</v>
      </c>
      <c r="BH502" s="287"/>
      <c r="BI502" s="287"/>
      <c r="BJ502" s="287"/>
      <c r="BK502" s="287"/>
      <c r="BL502" s="287"/>
      <c r="BM502" s="287"/>
      <c r="BN502" s="287"/>
      <c r="BO502" s="287"/>
      <c r="BP502" s="287"/>
      <c r="BQ502" s="287"/>
      <c r="BR502" s="287"/>
      <c r="BS502" s="287"/>
      <c r="BT502" s="287"/>
      <c r="BU502" s="287">
        <v>2.5</v>
      </c>
      <c r="BV502" s="287"/>
      <c r="BW502" s="287"/>
      <c r="BX502" s="286">
        <v>2.5</v>
      </c>
      <c r="BY502" s="289"/>
      <c r="BZ502" s="289">
        <v>2.5</v>
      </c>
      <c r="CA502" s="289"/>
      <c r="CB502" s="289">
        <v>3</v>
      </c>
      <c r="CC502" s="289"/>
      <c r="CD502" s="289"/>
      <c r="CE502" s="289"/>
      <c r="CF502" s="289"/>
      <c r="CG502" s="287"/>
      <c r="CH502" s="287"/>
      <c r="CI502" s="287"/>
      <c r="CJ502" s="287"/>
      <c r="CK502" s="287"/>
      <c r="CL502" s="287"/>
      <c r="CM502" s="342">
        <v>2.5</v>
      </c>
      <c r="CN502" s="342">
        <v>2.5</v>
      </c>
      <c r="CO502" s="342">
        <v>2.5</v>
      </c>
      <c r="CP502" s="287"/>
      <c r="CQ502" s="287">
        <v>2.5</v>
      </c>
      <c r="CR502" s="287"/>
      <c r="CS502" s="288">
        <v>2.2999999999999998</v>
      </c>
      <c r="CT502" s="6"/>
      <c r="CU502" s="6"/>
      <c r="CV502" s="6"/>
      <c r="CW502" s="6"/>
      <c r="CX502" s="6"/>
      <c r="CY502" s="6"/>
      <c r="CZ502" s="6"/>
      <c r="DA502" s="343">
        <f t="shared" si="20"/>
        <v>1.8399999999999999</v>
      </c>
    </row>
    <row r="503" spans="1:105" ht="20" customHeight="1" x14ac:dyDescent="0.35">
      <c r="A503" s="290" t="s">
        <v>2098</v>
      </c>
      <c r="B503" s="270" t="s">
        <v>1018</v>
      </c>
      <c r="C503" s="270" t="s">
        <v>1681</v>
      </c>
      <c r="D503" s="297" t="s">
        <v>604</v>
      </c>
      <c r="E503" s="270" t="s">
        <v>402</v>
      </c>
      <c r="F503" s="270" t="s">
        <v>1638</v>
      </c>
      <c r="G503" s="334" t="s">
        <v>91</v>
      </c>
      <c r="H503" s="298">
        <f>22.08/12</f>
        <v>1.8399999999999999</v>
      </c>
      <c r="I503" s="292"/>
      <c r="J503" s="342"/>
      <c r="K503" s="286"/>
      <c r="L503" s="286"/>
      <c r="M503" s="286"/>
      <c r="N503" s="292"/>
      <c r="O503" s="286"/>
      <c r="P503" s="292"/>
      <c r="Q503" s="286"/>
      <c r="R503" s="286"/>
      <c r="S503" s="286"/>
      <c r="T503" s="330"/>
      <c r="U503" s="286"/>
      <c r="V503" s="294"/>
      <c r="W503" s="286"/>
      <c r="X503" s="286"/>
      <c r="Y503" s="286"/>
      <c r="Z503" s="286"/>
      <c r="AA503" s="286"/>
      <c r="AB503" s="286"/>
      <c r="AC503" s="286"/>
      <c r="AD503" s="286"/>
      <c r="AE503" s="286"/>
      <c r="AF503" s="286"/>
      <c r="AG503" s="286"/>
      <c r="AH503" s="286"/>
      <c r="AI503" s="286"/>
      <c r="AJ503" s="335"/>
      <c r="AK503" s="295"/>
      <c r="AL503" s="336"/>
      <c r="AM503" s="287"/>
      <c r="AN503" s="287"/>
      <c r="AO503" s="287"/>
      <c r="AP503" s="286"/>
      <c r="AQ503" s="296"/>
      <c r="AR503" s="286"/>
      <c r="AS503" s="286"/>
      <c r="AT503" s="286"/>
      <c r="AU503" s="286"/>
      <c r="AV503" s="286"/>
      <c r="AW503" s="286"/>
      <c r="AX503" s="286"/>
      <c r="AY503" s="286"/>
      <c r="AZ503" s="286"/>
      <c r="BA503" s="286"/>
      <c r="BB503" s="286"/>
      <c r="BC503" s="286"/>
      <c r="BD503" s="287"/>
      <c r="BE503" s="287"/>
      <c r="BF503" s="287"/>
      <c r="BG503" s="288"/>
      <c r="BH503" s="287"/>
      <c r="BI503" s="287"/>
      <c r="BJ503" s="287"/>
      <c r="BK503" s="287"/>
      <c r="BL503" s="287"/>
      <c r="BM503" s="287"/>
      <c r="BN503" s="287"/>
      <c r="BO503" s="287"/>
      <c r="BP503" s="287"/>
      <c r="BQ503" s="287"/>
      <c r="BR503" s="287"/>
      <c r="BS503" s="287"/>
      <c r="BT503" s="287"/>
      <c r="BU503" s="287"/>
      <c r="BV503" s="287"/>
      <c r="BW503" s="287"/>
      <c r="BX503" s="286"/>
      <c r="BY503" s="289"/>
      <c r="BZ503" s="289"/>
      <c r="CA503" s="289"/>
      <c r="CB503" s="289"/>
      <c r="CC503" s="289"/>
      <c r="CD503" s="289"/>
      <c r="CE503" s="289"/>
      <c r="CF503" s="289"/>
      <c r="CG503" s="287"/>
      <c r="CH503" s="287"/>
      <c r="CI503" s="287"/>
      <c r="CJ503" s="287"/>
      <c r="CK503" s="287"/>
      <c r="CL503" s="287"/>
      <c r="CM503" s="342"/>
      <c r="CN503" s="287"/>
      <c r="CO503" s="342"/>
      <c r="CP503" s="287"/>
      <c r="CQ503" s="287">
        <v>2.5</v>
      </c>
      <c r="CR503" s="287"/>
      <c r="CS503" s="288">
        <v>2.2999999999999998</v>
      </c>
      <c r="CT503" s="6"/>
      <c r="CU503" s="6"/>
      <c r="CV503" s="6"/>
      <c r="CW503" s="6"/>
      <c r="CX503" s="6"/>
      <c r="CY503" s="6"/>
      <c r="CZ503" s="6"/>
      <c r="DA503" s="343">
        <f>H503</f>
        <v>1.8399999999999999</v>
      </c>
    </row>
    <row r="504" spans="1:105" ht="20" customHeight="1" x14ac:dyDescent="0.35">
      <c r="A504" s="290"/>
      <c r="B504" s="270" t="s">
        <v>1019</v>
      </c>
      <c r="C504" s="270" t="s">
        <v>1681</v>
      </c>
      <c r="D504" s="297" t="s">
        <v>604</v>
      </c>
      <c r="E504" s="270" t="s">
        <v>403</v>
      </c>
      <c r="F504" s="270" t="s">
        <v>1638</v>
      </c>
      <c r="G504" s="334" t="s">
        <v>91</v>
      </c>
      <c r="H504" s="298">
        <f>22.08/12</f>
        <v>1.8399999999999999</v>
      </c>
      <c r="I504" s="292">
        <v>2.2999999999999998</v>
      </c>
      <c r="J504" s="342">
        <v>2.5</v>
      </c>
      <c r="K504" s="286"/>
      <c r="L504" s="286">
        <v>2.8</v>
      </c>
      <c r="M504" s="286">
        <v>2.8</v>
      </c>
      <c r="N504" s="292">
        <v>2.5</v>
      </c>
      <c r="O504" s="286">
        <v>2.5</v>
      </c>
      <c r="P504" s="292">
        <v>2.5</v>
      </c>
      <c r="Q504" s="286">
        <v>2.5</v>
      </c>
      <c r="R504" s="286">
        <v>2.5</v>
      </c>
      <c r="S504" s="286">
        <v>3</v>
      </c>
      <c r="T504" s="330">
        <v>2.5</v>
      </c>
      <c r="U504" s="286"/>
      <c r="V504" s="294"/>
      <c r="W504" s="286"/>
      <c r="X504" s="286"/>
      <c r="Y504" s="286"/>
      <c r="Z504" s="286"/>
      <c r="AA504" s="286"/>
      <c r="AB504" s="286"/>
      <c r="AC504" s="286"/>
      <c r="AD504" s="286"/>
      <c r="AE504" s="286"/>
      <c r="AF504" s="286"/>
      <c r="AG504" s="286"/>
      <c r="AH504" s="286"/>
      <c r="AI504" s="286">
        <v>2.5</v>
      </c>
      <c r="AJ504" s="335">
        <v>3</v>
      </c>
      <c r="AK504" s="295">
        <v>2.5</v>
      </c>
      <c r="AL504" s="336"/>
      <c r="AM504" s="287">
        <v>2.8</v>
      </c>
      <c r="AN504" s="287"/>
      <c r="AO504" s="287"/>
      <c r="AP504" s="286">
        <v>2.5</v>
      </c>
      <c r="AQ504" s="296">
        <v>2.8</v>
      </c>
      <c r="AR504" s="286">
        <v>2.5</v>
      </c>
      <c r="AS504" s="286"/>
      <c r="AT504" s="286">
        <v>2.5</v>
      </c>
      <c r="AU504" s="286">
        <v>2.5</v>
      </c>
      <c r="AV504" s="286">
        <v>2.5</v>
      </c>
      <c r="AW504" s="286">
        <v>2.5</v>
      </c>
      <c r="AX504" s="286">
        <v>2.5</v>
      </c>
      <c r="AY504" s="286">
        <v>2.5</v>
      </c>
      <c r="AZ504" s="286">
        <v>2.5</v>
      </c>
      <c r="BA504" s="286">
        <v>2.5</v>
      </c>
      <c r="BB504" s="286">
        <f>BA504</f>
        <v>2.5</v>
      </c>
      <c r="BC504" s="286">
        <v>2.5</v>
      </c>
      <c r="BD504" s="287"/>
      <c r="BE504" s="287"/>
      <c r="BF504" s="287"/>
      <c r="BG504" s="288">
        <v>2.8</v>
      </c>
      <c r="BH504" s="287"/>
      <c r="BI504" s="287"/>
      <c r="BJ504" s="287"/>
      <c r="BK504" s="287"/>
      <c r="BL504" s="287"/>
      <c r="BM504" s="287"/>
      <c r="BN504" s="287"/>
      <c r="BO504" s="287"/>
      <c r="BP504" s="287"/>
      <c r="BQ504" s="287"/>
      <c r="BR504" s="287"/>
      <c r="BS504" s="287"/>
      <c r="BT504" s="287"/>
      <c r="BU504" s="287">
        <v>2.5</v>
      </c>
      <c r="BV504" s="287"/>
      <c r="BW504" s="287"/>
      <c r="BX504" s="286">
        <v>2.5</v>
      </c>
      <c r="BY504" s="289"/>
      <c r="BZ504" s="289">
        <v>2.5</v>
      </c>
      <c r="CA504" s="289"/>
      <c r="CB504" s="289">
        <v>3</v>
      </c>
      <c r="CC504" s="289"/>
      <c r="CD504" s="289"/>
      <c r="CE504" s="289"/>
      <c r="CF504" s="289"/>
      <c r="CG504" s="287"/>
      <c r="CH504" s="287"/>
      <c r="CI504" s="287"/>
      <c r="CJ504" s="287"/>
      <c r="CK504" s="287"/>
      <c r="CL504" s="287"/>
      <c r="CM504" s="287"/>
      <c r="CN504" s="287"/>
      <c r="CO504" s="287"/>
      <c r="CP504" s="287"/>
      <c r="CQ504" s="287"/>
      <c r="CR504" s="287"/>
      <c r="CS504" s="288">
        <v>2.2999999999999998</v>
      </c>
      <c r="CT504" s="6"/>
      <c r="CU504" s="6"/>
      <c r="CV504" s="6"/>
      <c r="CW504" s="6"/>
      <c r="CX504" s="6"/>
      <c r="CY504" s="6"/>
      <c r="CZ504" s="6"/>
      <c r="DA504" s="343">
        <f t="shared" si="20"/>
        <v>1.8399999999999999</v>
      </c>
    </row>
    <row r="505" spans="1:105" ht="20" customHeight="1" x14ac:dyDescent="0.35">
      <c r="A505" s="290"/>
      <c r="B505" s="270" t="s">
        <v>1020</v>
      </c>
      <c r="C505" s="270" t="s">
        <v>1681</v>
      </c>
      <c r="D505" s="297" t="s">
        <v>604</v>
      </c>
      <c r="E505" s="270" t="s">
        <v>409</v>
      </c>
      <c r="F505" s="270" t="s">
        <v>1638</v>
      </c>
      <c r="G505" s="334" t="s">
        <v>31</v>
      </c>
      <c r="H505" s="298">
        <v>2.5</v>
      </c>
      <c r="I505" s="292">
        <v>4</v>
      </c>
      <c r="J505" s="342">
        <v>3.5</v>
      </c>
      <c r="K505" s="286"/>
      <c r="L505" s="286">
        <v>4</v>
      </c>
      <c r="M505" s="286">
        <v>4</v>
      </c>
      <c r="N505" s="286"/>
      <c r="O505" s="286">
        <v>4</v>
      </c>
      <c r="P505" s="286">
        <v>4</v>
      </c>
      <c r="Q505" s="286">
        <v>4</v>
      </c>
      <c r="R505" s="286">
        <v>4</v>
      </c>
      <c r="S505" s="286">
        <v>4</v>
      </c>
      <c r="T505" s="330">
        <v>3.5</v>
      </c>
      <c r="U505" s="286"/>
      <c r="V505" s="294"/>
      <c r="W505" s="286"/>
      <c r="X505" s="286"/>
      <c r="Y505" s="286"/>
      <c r="Z505" s="286"/>
      <c r="AA505" s="286"/>
      <c r="AB505" s="286"/>
      <c r="AC505" s="286"/>
      <c r="AD505" s="286"/>
      <c r="AE505" s="286">
        <v>4</v>
      </c>
      <c r="AF505" s="286"/>
      <c r="AG505" s="286"/>
      <c r="AH505" s="286"/>
      <c r="AI505" s="286">
        <v>3.5</v>
      </c>
      <c r="AJ505" s="335">
        <v>4</v>
      </c>
      <c r="AK505" s="295">
        <v>4.2</v>
      </c>
      <c r="AL505" s="336"/>
      <c r="AM505" s="287">
        <v>4.2</v>
      </c>
      <c r="AN505" s="287"/>
      <c r="AO505" s="287"/>
      <c r="AP505" s="286">
        <v>3.5</v>
      </c>
      <c r="AQ505" s="296"/>
      <c r="AR505" s="286">
        <v>3.5</v>
      </c>
      <c r="AS505" s="286"/>
      <c r="AT505" s="286">
        <v>3.5</v>
      </c>
      <c r="AU505" s="286">
        <v>3.5</v>
      </c>
      <c r="AV505" s="286">
        <v>3.5</v>
      </c>
      <c r="AW505" s="286">
        <v>3.5</v>
      </c>
      <c r="AX505" s="286">
        <v>3.5</v>
      </c>
      <c r="AY505" s="286">
        <v>3.5</v>
      </c>
      <c r="AZ505" s="286">
        <v>3.5</v>
      </c>
      <c r="BA505" s="286">
        <v>3.5</v>
      </c>
      <c r="BB505" s="286">
        <f>BA505</f>
        <v>3.5</v>
      </c>
      <c r="BC505" s="286">
        <v>3.5</v>
      </c>
      <c r="BD505" s="287"/>
      <c r="BE505" s="287"/>
      <c r="BF505" s="287"/>
      <c r="BG505" s="288">
        <v>4.5</v>
      </c>
      <c r="BH505" s="287"/>
      <c r="BI505" s="287"/>
      <c r="BJ505" s="287"/>
      <c r="BK505" s="287"/>
      <c r="BL505" s="287"/>
      <c r="BM505" s="287"/>
      <c r="BN505" s="287"/>
      <c r="BO505" s="287"/>
      <c r="BP505" s="287"/>
      <c r="BQ505" s="287"/>
      <c r="BR505" s="287"/>
      <c r="BS505" s="287"/>
      <c r="BT505" s="287"/>
      <c r="BU505" s="287">
        <v>4</v>
      </c>
      <c r="BV505" s="287"/>
      <c r="BW505" s="287"/>
      <c r="BX505" s="286">
        <v>3.5</v>
      </c>
      <c r="BY505" s="289"/>
      <c r="BZ505" s="289">
        <v>4</v>
      </c>
      <c r="CA505" s="289"/>
      <c r="CB505" s="289"/>
      <c r="CC505" s="289"/>
      <c r="CD505" s="289"/>
      <c r="CE505" s="289"/>
      <c r="CF505" s="289"/>
      <c r="CG505" s="287"/>
      <c r="CH505" s="287"/>
      <c r="CI505" s="287"/>
      <c r="CJ505" s="287"/>
      <c r="CK505" s="287"/>
      <c r="CL505" s="287"/>
      <c r="CM505" s="287"/>
      <c r="CN505" s="287"/>
      <c r="CO505" s="287"/>
      <c r="CP505" s="287"/>
      <c r="CQ505" s="287"/>
      <c r="CR505" s="287"/>
      <c r="CS505" s="288">
        <v>4</v>
      </c>
      <c r="CT505" s="6"/>
      <c r="CU505" s="6"/>
      <c r="CV505" s="6"/>
      <c r="CW505" s="6"/>
      <c r="CX505" s="6"/>
      <c r="CY505" s="6"/>
      <c r="CZ505" s="6"/>
      <c r="DA505" s="343">
        <f t="shared" si="20"/>
        <v>2.5</v>
      </c>
    </row>
    <row r="506" spans="1:105" ht="20" customHeight="1" x14ac:dyDescent="0.35">
      <c r="A506" s="337"/>
      <c r="B506" s="272" t="s">
        <v>1021</v>
      </c>
      <c r="C506" s="272" t="s">
        <v>1636</v>
      </c>
      <c r="D506" s="272" t="s">
        <v>604</v>
      </c>
      <c r="E506" s="272" t="s">
        <v>1640</v>
      </c>
      <c r="F506" s="272" t="s">
        <v>1742</v>
      </c>
      <c r="G506" s="270" t="s">
        <v>138</v>
      </c>
      <c r="H506" s="298"/>
      <c r="I506" s="280">
        <v>0</v>
      </c>
      <c r="J506" s="292">
        <v>0</v>
      </c>
      <c r="K506" s="286"/>
      <c r="L506" s="286"/>
      <c r="M506" s="286"/>
      <c r="N506" s="292">
        <v>22</v>
      </c>
      <c r="O506" s="286">
        <v>22</v>
      </c>
      <c r="P506" s="286"/>
      <c r="Q506" s="286"/>
      <c r="R506" s="286"/>
      <c r="S506" s="286"/>
      <c r="T506" s="286">
        <v>20</v>
      </c>
      <c r="U506" s="286"/>
      <c r="V506" s="294"/>
      <c r="W506" s="286"/>
      <c r="X506" s="286"/>
      <c r="Y506" s="286"/>
      <c r="Z506" s="286"/>
      <c r="AA506" s="286"/>
      <c r="AB506" s="286"/>
      <c r="AC506" s="286"/>
      <c r="AD506" s="286"/>
      <c r="AE506" s="286"/>
      <c r="AF506" s="286"/>
      <c r="AG506" s="286"/>
      <c r="AH506" s="286"/>
      <c r="AI506" s="286"/>
      <c r="AJ506" s="286"/>
      <c r="AK506" s="283"/>
      <c r="AL506" s="288"/>
      <c r="AM506" s="287"/>
      <c r="AN506" s="287"/>
      <c r="AO506" s="287"/>
      <c r="AP506" s="286"/>
      <c r="AQ506" s="296"/>
      <c r="AR506" s="286"/>
      <c r="AS506" s="286"/>
      <c r="AT506" s="286"/>
      <c r="AU506" s="286"/>
      <c r="AV506" s="286"/>
      <c r="AW506" s="286"/>
      <c r="AX506" s="286"/>
      <c r="AY506" s="286"/>
      <c r="AZ506" s="286"/>
      <c r="BA506" s="286"/>
      <c r="BB506" s="286"/>
      <c r="BC506" s="286"/>
      <c r="BD506" s="287"/>
      <c r="BE506" s="287"/>
      <c r="BF506" s="287"/>
      <c r="BG506" s="287"/>
      <c r="BH506" s="287"/>
      <c r="BI506" s="287"/>
      <c r="BJ506" s="287"/>
      <c r="BK506" s="287"/>
      <c r="BL506" s="287"/>
      <c r="BM506" s="287"/>
      <c r="BN506" s="287"/>
      <c r="BO506" s="287"/>
      <c r="BP506" s="287"/>
      <c r="BQ506" s="287"/>
      <c r="BR506" s="287"/>
      <c r="BS506" s="287"/>
      <c r="BT506" s="287"/>
      <c r="BU506" s="287"/>
      <c r="BV506" s="287"/>
      <c r="BW506" s="287"/>
      <c r="BX506" s="286"/>
      <c r="BY506" s="289"/>
      <c r="BZ506" s="289"/>
      <c r="CA506" s="289"/>
      <c r="CB506" s="289"/>
      <c r="CC506" s="289"/>
      <c r="CD506" s="289"/>
      <c r="CE506" s="289"/>
      <c r="CF506" s="289"/>
      <c r="CG506" s="287"/>
      <c r="CH506" s="287"/>
      <c r="CI506" s="287"/>
      <c r="CJ506" s="287"/>
      <c r="CK506" s="287"/>
      <c r="CL506" s="287"/>
      <c r="CM506" s="287"/>
      <c r="CN506" s="287"/>
      <c r="CO506" s="287"/>
      <c r="CP506" s="287"/>
      <c r="CQ506" s="287"/>
      <c r="CR506" s="287"/>
      <c r="CS506" s="6"/>
      <c r="CT506" s="6"/>
      <c r="CU506" s="6"/>
      <c r="CV506" s="6"/>
      <c r="CW506" s="6"/>
      <c r="CX506" s="6"/>
      <c r="CY506" s="6"/>
      <c r="CZ506" s="6"/>
      <c r="DA506" s="343">
        <f t="shared" si="20"/>
        <v>0</v>
      </c>
    </row>
    <row r="507" spans="1:105" ht="20" customHeight="1" x14ac:dyDescent="0.35">
      <c r="A507" s="337"/>
      <c r="B507" s="270" t="s">
        <v>1022</v>
      </c>
      <c r="C507" s="272" t="s">
        <v>1636</v>
      </c>
      <c r="D507" s="270" t="s">
        <v>604</v>
      </c>
      <c r="E507" s="270" t="s">
        <v>402</v>
      </c>
      <c r="F507" s="272" t="s">
        <v>1742</v>
      </c>
      <c r="G507" s="270" t="s">
        <v>138</v>
      </c>
      <c r="H507" s="298"/>
      <c r="I507" s="286"/>
      <c r="J507" s="292">
        <v>0</v>
      </c>
      <c r="K507" s="286"/>
      <c r="L507" s="286"/>
      <c r="M507" s="286"/>
      <c r="N507" s="286"/>
      <c r="O507" s="286">
        <v>20</v>
      </c>
      <c r="P507" s="286"/>
      <c r="Q507" s="286"/>
      <c r="R507" s="286"/>
      <c r="S507" s="286"/>
      <c r="T507" s="286">
        <v>20</v>
      </c>
      <c r="U507" s="286"/>
      <c r="V507" s="294"/>
      <c r="W507" s="286"/>
      <c r="X507" s="286"/>
      <c r="Y507" s="286"/>
      <c r="Z507" s="286"/>
      <c r="AA507" s="286"/>
      <c r="AB507" s="286"/>
      <c r="AC507" s="286"/>
      <c r="AD507" s="286"/>
      <c r="AE507" s="286"/>
      <c r="AF507" s="286"/>
      <c r="AG507" s="286"/>
      <c r="AH507" s="286"/>
      <c r="AI507" s="286"/>
      <c r="AJ507" s="286"/>
      <c r="AK507" s="287"/>
      <c r="AL507" s="288"/>
      <c r="AM507" s="287"/>
      <c r="AN507" s="287"/>
      <c r="AO507" s="287"/>
      <c r="AP507" s="286"/>
      <c r="AQ507" s="296"/>
      <c r="AR507" s="286"/>
      <c r="AS507" s="286"/>
      <c r="AT507" s="286"/>
      <c r="AU507" s="286"/>
      <c r="AV507" s="286"/>
      <c r="AW507" s="286"/>
      <c r="AX507" s="286"/>
      <c r="AY507" s="286"/>
      <c r="AZ507" s="286"/>
      <c r="BA507" s="286"/>
      <c r="BB507" s="286"/>
      <c r="BC507" s="286"/>
      <c r="BD507" s="287"/>
      <c r="BE507" s="287"/>
      <c r="BF507" s="287"/>
      <c r="BG507" s="287"/>
      <c r="BH507" s="287"/>
      <c r="BI507" s="287"/>
      <c r="BJ507" s="287"/>
      <c r="BK507" s="287"/>
      <c r="BL507" s="287"/>
      <c r="BM507" s="287"/>
      <c r="BN507" s="287"/>
      <c r="BO507" s="287"/>
      <c r="BP507" s="287"/>
      <c r="BQ507" s="287"/>
      <c r="BR507" s="287"/>
      <c r="BS507" s="287"/>
      <c r="BT507" s="287"/>
      <c r="BU507" s="287"/>
      <c r="BV507" s="287"/>
      <c r="BW507" s="287"/>
      <c r="BX507" s="286"/>
      <c r="BY507" s="289"/>
      <c r="BZ507" s="289"/>
      <c r="CA507" s="289"/>
      <c r="CB507" s="289"/>
      <c r="CC507" s="289"/>
      <c r="CD507" s="289"/>
      <c r="CE507" s="289"/>
      <c r="CF507" s="289"/>
      <c r="CG507" s="287"/>
      <c r="CH507" s="287"/>
      <c r="CI507" s="287"/>
      <c r="CJ507" s="287"/>
      <c r="CK507" s="287"/>
      <c r="CL507" s="287"/>
      <c r="CM507" s="287"/>
      <c r="CN507" s="287"/>
      <c r="CO507" s="287"/>
      <c r="CP507" s="287"/>
      <c r="CQ507" s="287"/>
      <c r="CR507" s="287"/>
      <c r="CS507" s="6"/>
      <c r="CT507" s="6"/>
      <c r="CU507" s="6"/>
      <c r="CV507" s="6"/>
      <c r="CW507" s="6"/>
      <c r="CX507" s="6"/>
      <c r="CY507" s="6"/>
      <c r="CZ507" s="6"/>
      <c r="DA507" s="343">
        <f t="shared" si="20"/>
        <v>0</v>
      </c>
    </row>
    <row r="508" spans="1:105" ht="20" customHeight="1" x14ac:dyDescent="0.35">
      <c r="A508" s="337"/>
      <c r="B508" s="270" t="s">
        <v>1023</v>
      </c>
      <c r="C508" s="272" t="s">
        <v>1636</v>
      </c>
      <c r="D508" s="270"/>
      <c r="E508" s="270" t="s">
        <v>403</v>
      </c>
      <c r="F508" s="272" t="s">
        <v>1742</v>
      </c>
      <c r="G508" s="270" t="s">
        <v>138</v>
      </c>
      <c r="H508" s="298"/>
      <c r="I508" s="286"/>
      <c r="J508" s="286"/>
      <c r="K508" s="286"/>
      <c r="L508" s="286"/>
      <c r="M508" s="286"/>
      <c r="N508" s="286"/>
      <c r="O508" s="286">
        <v>20</v>
      </c>
      <c r="P508" s="286"/>
      <c r="Q508" s="286"/>
      <c r="R508" s="286"/>
      <c r="S508" s="286"/>
      <c r="T508" s="286"/>
      <c r="U508" s="286"/>
      <c r="V508" s="294"/>
      <c r="W508" s="286"/>
      <c r="X508" s="286"/>
      <c r="Y508" s="286"/>
      <c r="Z508" s="286"/>
      <c r="AA508" s="286"/>
      <c r="AB508" s="286"/>
      <c r="AC508" s="286"/>
      <c r="AD508" s="286"/>
      <c r="AE508" s="286"/>
      <c r="AF508" s="286"/>
      <c r="AG508" s="286"/>
      <c r="AH508" s="286"/>
      <c r="AI508" s="286"/>
      <c r="AJ508" s="286"/>
      <c r="AK508" s="287"/>
      <c r="AL508" s="288"/>
      <c r="AM508" s="287"/>
      <c r="AN508" s="287"/>
      <c r="AO508" s="287"/>
      <c r="AP508" s="286"/>
      <c r="AQ508" s="296"/>
      <c r="AR508" s="286"/>
      <c r="AS508" s="286"/>
      <c r="AT508" s="286"/>
      <c r="AU508" s="286"/>
      <c r="AV508" s="286"/>
      <c r="AW508" s="286"/>
      <c r="AX508" s="286"/>
      <c r="AY508" s="286"/>
      <c r="AZ508" s="286"/>
      <c r="BA508" s="286"/>
      <c r="BB508" s="286"/>
      <c r="BC508" s="286"/>
      <c r="BD508" s="287"/>
      <c r="BE508" s="287"/>
      <c r="BF508" s="287"/>
      <c r="BG508" s="287"/>
      <c r="BH508" s="287"/>
      <c r="BI508" s="287"/>
      <c r="BJ508" s="287"/>
      <c r="BK508" s="287"/>
      <c r="BL508" s="287"/>
      <c r="BM508" s="287"/>
      <c r="BN508" s="287"/>
      <c r="BO508" s="287"/>
      <c r="BP508" s="287"/>
      <c r="BQ508" s="287"/>
      <c r="BR508" s="287"/>
      <c r="BS508" s="287"/>
      <c r="BT508" s="287"/>
      <c r="BU508" s="287"/>
      <c r="BV508" s="287"/>
      <c r="BW508" s="287"/>
      <c r="BX508" s="286"/>
      <c r="BY508" s="289"/>
      <c r="BZ508" s="289"/>
      <c r="CA508" s="289"/>
      <c r="CB508" s="289"/>
      <c r="CC508" s="289"/>
      <c r="CD508" s="289"/>
      <c r="CE508" s="289"/>
      <c r="CF508" s="289"/>
      <c r="CG508" s="287"/>
      <c r="CH508" s="287"/>
      <c r="CI508" s="287"/>
      <c r="CJ508" s="287"/>
      <c r="CK508" s="287"/>
      <c r="CL508" s="287"/>
      <c r="CM508" s="287"/>
      <c r="CN508" s="287"/>
      <c r="CO508" s="287"/>
      <c r="CP508" s="287"/>
      <c r="CQ508" s="287"/>
      <c r="CR508" s="287"/>
      <c r="CS508" s="6"/>
      <c r="CT508" s="6"/>
      <c r="CU508" s="6"/>
      <c r="CV508" s="6"/>
      <c r="CW508" s="6"/>
      <c r="CX508" s="6"/>
      <c r="CY508" s="6"/>
      <c r="CZ508" s="6"/>
      <c r="DA508" s="343">
        <f t="shared" si="20"/>
        <v>0</v>
      </c>
    </row>
    <row r="509" spans="1:105" ht="20" customHeight="1" x14ac:dyDescent="0.35">
      <c r="A509" s="337"/>
      <c r="B509" s="270" t="s">
        <v>1024</v>
      </c>
      <c r="C509" s="270" t="s">
        <v>1637</v>
      </c>
      <c r="D509" s="270"/>
      <c r="E509" s="270" t="s">
        <v>409</v>
      </c>
      <c r="F509" s="270" t="s">
        <v>1822</v>
      </c>
      <c r="G509" s="270" t="s">
        <v>138</v>
      </c>
      <c r="H509" s="298">
        <v>22.5</v>
      </c>
      <c r="I509" s="286"/>
      <c r="J509" s="286"/>
      <c r="K509" s="286"/>
      <c r="L509" s="286"/>
      <c r="M509" s="286"/>
      <c r="N509" s="286"/>
      <c r="O509" s="286"/>
      <c r="P509" s="286"/>
      <c r="Q509" s="286"/>
      <c r="R509" s="286"/>
      <c r="S509" s="286"/>
      <c r="T509" s="286"/>
      <c r="U509" s="286"/>
      <c r="V509" s="294"/>
      <c r="W509" s="286"/>
      <c r="X509" s="286"/>
      <c r="Y509" s="286"/>
      <c r="Z509" s="286"/>
      <c r="AA509" s="286"/>
      <c r="AB509" s="286">
        <v>35</v>
      </c>
      <c r="AC509" s="286"/>
      <c r="AD509" s="286"/>
      <c r="AE509" s="286">
        <v>35</v>
      </c>
      <c r="AF509" s="286"/>
      <c r="AG509" s="286"/>
      <c r="AH509" s="286"/>
      <c r="AI509" s="286"/>
      <c r="AJ509" s="286"/>
      <c r="AK509" s="287"/>
      <c r="AL509" s="288"/>
      <c r="AM509" s="287">
        <v>35</v>
      </c>
      <c r="AN509" s="287"/>
      <c r="AO509" s="287"/>
      <c r="AP509" s="286"/>
      <c r="AQ509" s="296"/>
      <c r="AR509" s="286"/>
      <c r="AS509" s="286"/>
      <c r="AT509" s="286"/>
      <c r="AU509" s="286"/>
      <c r="AV509" s="286"/>
      <c r="AW509" s="286"/>
      <c r="AX509" s="286"/>
      <c r="AY509" s="286"/>
      <c r="AZ509" s="286"/>
      <c r="BA509" s="286"/>
      <c r="BB509" s="286"/>
      <c r="BC509" s="286"/>
      <c r="BD509" s="287"/>
      <c r="BE509" s="287"/>
      <c r="BF509" s="287"/>
      <c r="BG509" s="287"/>
      <c r="BH509" s="287"/>
      <c r="BI509" s="287"/>
      <c r="BJ509" s="287"/>
      <c r="BK509" s="287"/>
      <c r="BL509" s="287"/>
      <c r="BM509" s="287"/>
      <c r="BN509" s="287"/>
      <c r="BO509" s="287"/>
      <c r="BP509" s="287"/>
      <c r="BQ509" s="287"/>
      <c r="BR509" s="287"/>
      <c r="BS509" s="287"/>
      <c r="BT509" s="287"/>
      <c r="BU509" s="287"/>
      <c r="BV509" s="287"/>
      <c r="BW509" s="287"/>
      <c r="BX509" s="286"/>
      <c r="BY509" s="289"/>
      <c r="BZ509" s="289"/>
      <c r="CA509" s="289"/>
      <c r="CB509" s="289"/>
      <c r="CC509" s="289"/>
      <c r="CD509" s="289"/>
      <c r="CE509" s="289"/>
      <c r="CF509" s="289"/>
      <c r="CG509" s="287"/>
      <c r="CH509" s="287"/>
      <c r="CI509" s="287"/>
      <c r="CJ509" s="287"/>
      <c r="CK509" s="287"/>
      <c r="CL509" s="287"/>
      <c r="CM509" s="287"/>
      <c r="CN509" s="287"/>
      <c r="CO509" s="287"/>
      <c r="CP509" s="287"/>
      <c r="CQ509" s="287"/>
      <c r="CR509" s="287"/>
      <c r="CS509" s="6"/>
      <c r="CT509" s="6"/>
      <c r="CU509" s="6"/>
      <c r="CV509" s="6"/>
      <c r="CW509" s="6"/>
      <c r="CX509" s="6"/>
      <c r="CY509" s="6"/>
      <c r="CZ509" s="6"/>
      <c r="DA509" s="343">
        <f t="shared" si="20"/>
        <v>22.5</v>
      </c>
    </row>
    <row r="510" spans="1:105" ht="20" customHeight="1" x14ac:dyDescent="0.35">
      <c r="A510" s="337"/>
      <c r="B510" s="270" t="s">
        <v>1025</v>
      </c>
      <c r="C510" s="270" t="s">
        <v>1545</v>
      </c>
      <c r="D510" s="270" t="s">
        <v>604</v>
      </c>
      <c r="E510" s="270" t="s">
        <v>134</v>
      </c>
      <c r="F510" s="270" t="s">
        <v>1823</v>
      </c>
      <c r="G510" s="270" t="s">
        <v>138</v>
      </c>
      <c r="H510" s="298">
        <v>12.08</v>
      </c>
      <c r="I510" s="286"/>
      <c r="J510" s="292"/>
      <c r="K510" s="286"/>
      <c r="L510" s="286"/>
      <c r="M510" s="286"/>
      <c r="N510" s="292">
        <v>18</v>
      </c>
      <c r="O510" s="286">
        <v>18</v>
      </c>
      <c r="P510" s="292">
        <v>18</v>
      </c>
      <c r="Q510" s="286">
        <v>18</v>
      </c>
      <c r="R510" s="286">
        <v>18</v>
      </c>
      <c r="S510" s="286"/>
      <c r="T510" s="286"/>
      <c r="U510" s="286"/>
      <c r="V510" s="294"/>
      <c r="W510" s="286"/>
      <c r="X510" s="286"/>
      <c r="Y510" s="286"/>
      <c r="Z510" s="286"/>
      <c r="AA510" s="286"/>
      <c r="AB510" s="286">
        <v>24</v>
      </c>
      <c r="AC510" s="286"/>
      <c r="AD510" s="286"/>
      <c r="AE510" s="286">
        <v>18.5</v>
      </c>
      <c r="AF510" s="286"/>
      <c r="AG510" s="286"/>
      <c r="AH510" s="286"/>
      <c r="AI510" s="286"/>
      <c r="AJ510" s="286"/>
      <c r="AK510" s="287"/>
      <c r="AL510" s="288"/>
      <c r="AM510" s="287"/>
      <c r="AN510" s="287"/>
      <c r="AO510" s="287"/>
      <c r="AP510" s="286"/>
      <c r="AQ510" s="296"/>
      <c r="AR510" s="286"/>
      <c r="AS510" s="286"/>
      <c r="AT510" s="292"/>
      <c r="AU510" s="286"/>
      <c r="AV510" s="292"/>
      <c r="AW510" s="286"/>
      <c r="AX510" s="286"/>
      <c r="AY510" s="286"/>
      <c r="AZ510" s="286"/>
      <c r="BA510" s="286"/>
      <c r="BB510" s="286"/>
      <c r="BC510" s="286"/>
      <c r="BD510" s="287"/>
      <c r="BE510" s="287"/>
      <c r="BF510" s="287"/>
      <c r="BG510" s="288">
        <v>18</v>
      </c>
      <c r="BH510" s="287"/>
      <c r="BI510" s="287"/>
      <c r="BJ510" s="287"/>
      <c r="BK510" s="287"/>
      <c r="BL510" s="287"/>
      <c r="BM510" s="287"/>
      <c r="BN510" s="287"/>
      <c r="BO510" s="287"/>
      <c r="BP510" s="287"/>
      <c r="BQ510" s="287"/>
      <c r="BR510" s="287"/>
      <c r="BS510" s="287"/>
      <c r="BT510" s="287"/>
      <c r="BU510" s="287"/>
      <c r="BV510" s="287"/>
      <c r="BW510" s="287"/>
      <c r="BX510" s="286"/>
      <c r="BY510" s="289"/>
      <c r="BZ510" s="289">
        <v>18</v>
      </c>
      <c r="CA510" s="289"/>
      <c r="CB510" s="289"/>
      <c r="CC510" s="289"/>
      <c r="CD510" s="289"/>
      <c r="CE510" s="289"/>
      <c r="CF510" s="289"/>
      <c r="CG510" s="287"/>
      <c r="CH510" s="287"/>
      <c r="CI510" s="287"/>
      <c r="CJ510" s="287"/>
      <c r="CK510" s="287"/>
      <c r="CL510" s="287"/>
      <c r="CM510" s="287"/>
      <c r="CN510" s="287"/>
      <c r="CO510" s="287"/>
      <c r="CP510" s="287"/>
      <c r="CQ510" s="287"/>
      <c r="CR510" s="287"/>
      <c r="CS510" s="6"/>
      <c r="CT510" s="6"/>
      <c r="CU510" s="6"/>
      <c r="CV510" s="6"/>
      <c r="CW510" s="6"/>
      <c r="CX510" s="6"/>
      <c r="CY510" s="6"/>
      <c r="CZ510" s="6"/>
      <c r="DA510" s="343">
        <f t="shared" si="20"/>
        <v>12.08</v>
      </c>
    </row>
    <row r="511" spans="1:105" ht="20" customHeight="1" x14ac:dyDescent="0.35">
      <c r="A511" s="337"/>
      <c r="B511" s="270" t="s">
        <v>1026</v>
      </c>
      <c r="C511" s="270" t="s">
        <v>1545</v>
      </c>
      <c r="D511" s="270"/>
      <c r="E511" s="270" t="s">
        <v>1910</v>
      </c>
      <c r="F511" s="270" t="s">
        <v>1823</v>
      </c>
      <c r="G511" s="270" t="s">
        <v>138</v>
      </c>
      <c r="H511" s="298">
        <v>16.68</v>
      </c>
      <c r="I511" s="286"/>
      <c r="J511" s="286"/>
      <c r="K511" s="286"/>
      <c r="L511" s="286"/>
      <c r="M511" s="286"/>
      <c r="N511" s="286"/>
      <c r="O511" s="286"/>
      <c r="P511" s="292">
        <v>22</v>
      </c>
      <c r="Q511" s="286"/>
      <c r="R511" s="286"/>
      <c r="S511" s="286"/>
      <c r="T511" s="286"/>
      <c r="U511" s="286"/>
      <c r="V511" s="294"/>
      <c r="W511" s="286"/>
      <c r="X511" s="286"/>
      <c r="Y511" s="286"/>
      <c r="Z511" s="286"/>
      <c r="AA511" s="286"/>
      <c r="AB511" s="286"/>
      <c r="AC511" s="286"/>
      <c r="AD511" s="286"/>
      <c r="AE511" s="286"/>
      <c r="AF511" s="286"/>
      <c r="AG511" s="286"/>
      <c r="AH511" s="286"/>
      <c r="AI511" s="286"/>
      <c r="AJ511" s="286"/>
      <c r="AK511" s="287"/>
      <c r="AL511" s="288"/>
      <c r="AM511" s="287"/>
      <c r="AN511" s="287"/>
      <c r="AO511" s="287"/>
      <c r="AP511" s="286"/>
      <c r="AQ511" s="296"/>
      <c r="AR511" s="286"/>
      <c r="AS511" s="286"/>
      <c r="AT511" s="286"/>
      <c r="AU511" s="286"/>
      <c r="AV511" s="286"/>
      <c r="AW511" s="286"/>
      <c r="AX511" s="286"/>
      <c r="AY511" s="286"/>
      <c r="AZ511" s="286"/>
      <c r="BA511" s="286"/>
      <c r="BB511" s="286"/>
      <c r="BC511" s="286"/>
      <c r="BD511" s="287"/>
      <c r="BE511" s="287"/>
      <c r="BF511" s="287"/>
      <c r="BG511" s="288">
        <v>22</v>
      </c>
      <c r="BH511" s="287"/>
      <c r="BI511" s="287"/>
      <c r="BJ511" s="287"/>
      <c r="BK511" s="287"/>
      <c r="BL511" s="287"/>
      <c r="BM511" s="287"/>
      <c r="BN511" s="287"/>
      <c r="BO511" s="287"/>
      <c r="BP511" s="287"/>
      <c r="BQ511" s="287"/>
      <c r="BR511" s="287"/>
      <c r="BS511" s="287"/>
      <c r="BT511" s="287"/>
      <c r="BU511" s="287"/>
      <c r="BV511" s="287"/>
      <c r="BW511" s="287"/>
      <c r="BX511" s="286"/>
      <c r="BY511" s="289"/>
      <c r="BZ511" s="289"/>
      <c r="CA511" s="289"/>
      <c r="CB511" s="289"/>
      <c r="CC511" s="289"/>
      <c r="CD511" s="289"/>
      <c r="CE511" s="289"/>
      <c r="CF511" s="289"/>
      <c r="CG511" s="287"/>
      <c r="CH511" s="287"/>
      <c r="CI511" s="287"/>
      <c r="CJ511" s="287"/>
      <c r="CK511" s="287"/>
      <c r="CL511" s="287"/>
      <c r="CM511" s="287"/>
      <c r="CN511" s="287"/>
      <c r="CO511" s="287"/>
      <c r="CP511" s="287"/>
      <c r="CQ511" s="287"/>
      <c r="CR511" s="287">
        <v>24</v>
      </c>
      <c r="CS511" s="6"/>
      <c r="CT511" s="6"/>
      <c r="CU511" s="6"/>
      <c r="CV511" s="6"/>
      <c r="CW511" s="6"/>
      <c r="CX511" s="6"/>
      <c r="CY511" s="6"/>
      <c r="CZ511" s="6"/>
      <c r="DA511" s="343">
        <f t="shared" si="20"/>
        <v>16.68</v>
      </c>
    </row>
    <row r="512" spans="1:105" ht="20" customHeight="1" x14ac:dyDescent="0.35">
      <c r="A512" s="337" t="s">
        <v>2097</v>
      </c>
      <c r="B512" s="270" t="s">
        <v>1027</v>
      </c>
      <c r="C512" s="270" t="s">
        <v>1545</v>
      </c>
      <c r="D512" s="270" t="s">
        <v>604</v>
      </c>
      <c r="E512" s="270" t="s">
        <v>371</v>
      </c>
      <c r="F512" s="270" t="s">
        <v>1823</v>
      </c>
      <c r="G512" s="270" t="s">
        <v>138</v>
      </c>
      <c r="H512" s="298">
        <v>17.25</v>
      </c>
      <c r="I512" s="286"/>
      <c r="J512" s="286"/>
      <c r="K512" s="286"/>
      <c r="L512" s="286"/>
      <c r="M512" s="286"/>
      <c r="N512" s="286"/>
      <c r="O512" s="286"/>
      <c r="P512" s="292">
        <v>22</v>
      </c>
      <c r="Q512" s="286"/>
      <c r="R512" s="286"/>
      <c r="S512" s="286"/>
      <c r="T512" s="286"/>
      <c r="U512" s="286"/>
      <c r="V512" s="294"/>
      <c r="W512" s="286"/>
      <c r="X512" s="286"/>
      <c r="Y512" s="286"/>
      <c r="Z512" s="286"/>
      <c r="AA512" s="286"/>
      <c r="AB512" s="286"/>
      <c r="AC512" s="286"/>
      <c r="AD512" s="286"/>
      <c r="AE512" s="286"/>
      <c r="AF512" s="286"/>
      <c r="AG512" s="286"/>
      <c r="AH512" s="286"/>
      <c r="AI512" s="286"/>
      <c r="AJ512" s="286"/>
      <c r="AK512" s="287">
        <v>23</v>
      </c>
      <c r="AL512" s="288"/>
      <c r="AM512" s="287"/>
      <c r="AN512" s="287"/>
      <c r="AO512" s="287"/>
      <c r="AP512" s="286"/>
      <c r="AQ512" s="296"/>
      <c r="AR512" s="286"/>
      <c r="AS512" s="286"/>
      <c r="AT512" s="286"/>
      <c r="AU512" s="286"/>
      <c r="AV512" s="286"/>
      <c r="AW512" s="286"/>
      <c r="AX512" s="286"/>
      <c r="AY512" s="286"/>
      <c r="AZ512" s="286"/>
      <c r="BA512" s="286"/>
      <c r="BB512" s="286"/>
      <c r="BC512" s="286"/>
      <c r="BD512" s="287"/>
      <c r="BE512" s="287"/>
      <c r="BF512" s="287"/>
      <c r="BG512" s="288">
        <v>22</v>
      </c>
      <c r="BH512" s="287"/>
      <c r="BI512" s="287"/>
      <c r="BJ512" s="287"/>
      <c r="BK512" s="287"/>
      <c r="BL512" s="287"/>
      <c r="BM512" s="287"/>
      <c r="BN512" s="287"/>
      <c r="BO512" s="287"/>
      <c r="BP512" s="287"/>
      <c r="BQ512" s="287"/>
      <c r="BR512" s="287"/>
      <c r="BS512" s="287"/>
      <c r="BT512" s="287"/>
      <c r="BU512" s="287"/>
      <c r="BV512" s="287"/>
      <c r="BW512" s="287"/>
      <c r="BX512" s="286"/>
      <c r="BY512" s="289"/>
      <c r="BZ512" s="289"/>
      <c r="CA512" s="289"/>
      <c r="CB512" s="289"/>
      <c r="CC512" s="289"/>
      <c r="CD512" s="289"/>
      <c r="CE512" s="289"/>
      <c r="CF512" s="289"/>
      <c r="CG512" s="287"/>
      <c r="CH512" s="287"/>
      <c r="CI512" s="287"/>
      <c r="CJ512" s="287"/>
      <c r="CK512" s="287"/>
      <c r="CL512" s="287"/>
      <c r="CM512" s="287"/>
      <c r="CN512" s="287"/>
      <c r="CO512" s="287"/>
      <c r="CP512" s="287"/>
      <c r="CQ512" s="287">
        <v>26</v>
      </c>
      <c r="CR512" s="287"/>
      <c r="CS512" s="6"/>
      <c r="CT512" s="6"/>
      <c r="CU512" s="6"/>
      <c r="CV512" s="6"/>
      <c r="CW512" s="6"/>
      <c r="CX512" s="6"/>
      <c r="CY512" s="6"/>
      <c r="CZ512" s="6"/>
      <c r="DA512" s="343">
        <f t="shared" si="20"/>
        <v>17.25</v>
      </c>
    </row>
    <row r="513" spans="1:105" ht="20" customHeight="1" x14ac:dyDescent="0.35">
      <c r="A513" s="337"/>
      <c r="B513" s="270" t="s">
        <v>1028</v>
      </c>
      <c r="C513" s="270" t="s">
        <v>1545</v>
      </c>
      <c r="D513" s="270"/>
      <c r="E513" s="270" t="s">
        <v>135</v>
      </c>
      <c r="F513" s="270" t="s">
        <v>1823</v>
      </c>
      <c r="G513" s="270" t="s">
        <v>138</v>
      </c>
      <c r="H513" s="298">
        <f>15.53*1.08</f>
        <v>16.772400000000001</v>
      </c>
      <c r="I513" s="286"/>
      <c r="J513" s="286"/>
      <c r="K513" s="286"/>
      <c r="L513" s="286"/>
      <c r="M513" s="286"/>
      <c r="N513" s="286"/>
      <c r="O513" s="286"/>
      <c r="P513" s="292">
        <v>22</v>
      </c>
      <c r="Q513" s="286"/>
      <c r="R513" s="286"/>
      <c r="S513" s="286"/>
      <c r="T513" s="286"/>
      <c r="U513" s="286"/>
      <c r="V513" s="294"/>
      <c r="W513" s="286"/>
      <c r="X513" s="286"/>
      <c r="Y513" s="286"/>
      <c r="Z513" s="286"/>
      <c r="AA513" s="286"/>
      <c r="AB513" s="286"/>
      <c r="AC513" s="286"/>
      <c r="AD513" s="286"/>
      <c r="AE513" s="286"/>
      <c r="AF513" s="286"/>
      <c r="AG513" s="286"/>
      <c r="AH513" s="286"/>
      <c r="AI513" s="286"/>
      <c r="AJ513" s="286"/>
      <c r="AK513" s="287"/>
      <c r="AL513" s="288"/>
      <c r="AM513" s="287"/>
      <c r="AN513" s="287"/>
      <c r="AO513" s="287"/>
      <c r="AP513" s="286"/>
      <c r="AQ513" s="296"/>
      <c r="AR513" s="286"/>
      <c r="AS513" s="286"/>
      <c r="AT513" s="286"/>
      <c r="AU513" s="286"/>
      <c r="AV513" s="286"/>
      <c r="AW513" s="286"/>
      <c r="AX513" s="286"/>
      <c r="AY513" s="286"/>
      <c r="AZ513" s="286"/>
      <c r="BA513" s="286"/>
      <c r="BB513" s="286"/>
      <c r="BC513" s="286"/>
      <c r="BD513" s="287"/>
      <c r="BE513" s="287"/>
      <c r="BF513" s="287"/>
      <c r="BG513" s="288">
        <v>22</v>
      </c>
      <c r="BH513" s="287"/>
      <c r="BI513" s="287"/>
      <c r="BJ513" s="287"/>
      <c r="BK513" s="287"/>
      <c r="BL513" s="287"/>
      <c r="BM513" s="287"/>
      <c r="BN513" s="287"/>
      <c r="BO513" s="287"/>
      <c r="BP513" s="287"/>
      <c r="BQ513" s="287"/>
      <c r="BR513" s="287"/>
      <c r="BS513" s="287"/>
      <c r="BT513" s="287"/>
      <c r="BU513" s="287"/>
      <c r="BV513" s="287"/>
      <c r="BW513" s="287"/>
      <c r="BX513" s="286"/>
      <c r="BY513" s="289"/>
      <c r="BZ513" s="289"/>
      <c r="CA513" s="289"/>
      <c r="CB513" s="289"/>
      <c r="CC513" s="289"/>
      <c r="CD513" s="289"/>
      <c r="CE513" s="289"/>
      <c r="CF513" s="289"/>
      <c r="CG513" s="287"/>
      <c r="CH513" s="287"/>
      <c r="CI513" s="287"/>
      <c r="CJ513" s="287"/>
      <c r="CK513" s="287"/>
      <c r="CL513" s="287"/>
      <c r="CM513" s="287"/>
      <c r="CN513" s="287"/>
      <c r="CO513" s="287"/>
      <c r="CP513" s="287"/>
      <c r="CQ513" s="287"/>
      <c r="CR513" s="287"/>
      <c r="CS513" s="6"/>
      <c r="CT513" s="6"/>
      <c r="CU513" s="6"/>
      <c r="CV513" s="6"/>
      <c r="CW513" s="6"/>
      <c r="CX513" s="6"/>
      <c r="CY513" s="6"/>
      <c r="CZ513" s="6"/>
      <c r="DA513" s="343">
        <f t="shared" si="20"/>
        <v>16.772400000000001</v>
      </c>
    </row>
    <row r="514" spans="1:105" ht="20" customHeight="1" x14ac:dyDescent="0.35">
      <c r="A514" s="337"/>
      <c r="B514" s="270" t="s">
        <v>1029</v>
      </c>
      <c r="C514" s="270" t="s">
        <v>1545</v>
      </c>
      <c r="D514" s="270" t="s">
        <v>604</v>
      </c>
      <c r="E514" s="270" t="s">
        <v>372</v>
      </c>
      <c r="F514" s="270" t="s">
        <v>1823</v>
      </c>
      <c r="G514" s="270" t="s">
        <v>138</v>
      </c>
      <c r="H514" s="298">
        <v>18.98</v>
      </c>
      <c r="I514" s="286"/>
      <c r="J514" s="292"/>
      <c r="K514" s="286"/>
      <c r="L514" s="286"/>
      <c r="M514" s="286"/>
      <c r="N514" s="286"/>
      <c r="O514" s="286"/>
      <c r="P514" s="286">
        <v>22</v>
      </c>
      <c r="Q514" s="286"/>
      <c r="R514" s="286"/>
      <c r="S514" s="286"/>
      <c r="T514" s="286"/>
      <c r="U514" s="286"/>
      <c r="V514" s="294"/>
      <c r="W514" s="286"/>
      <c r="X514" s="286"/>
      <c r="Y514" s="286"/>
      <c r="Z514" s="286"/>
      <c r="AA514" s="286"/>
      <c r="AB514" s="286"/>
      <c r="AC514" s="286"/>
      <c r="AD514" s="286"/>
      <c r="AE514" s="286"/>
      <c r="AF514" s="286"/>
      <c r="AG514" s="286"/>
      <c r="AH514" s="286"/>
      <c r="AI514" s="286"/>
      <c r="AJ514" s="286"/>
      <c r="AK514" s="287"/>
      <c r="AL514" s="288"/>
      <c r="AM514" s="287"/>
      <c r="AN514" s="287"/>
      <c r="AO514" s="287"/>
      <c r="AP514" s="286"/>
      <c r="AQ514" s="296"/>
      <c r="AR514" s="286"/>
      <c r="AS514" s="286"/>
      <c r="AT514" s="286"/>
      <c r="AU514" s="286"/>
      <c r="AV514" s="286"/>
      <c r="AW514" s="286"/>
      <c r="AX514" s="286"/>
      <c r="AY514" s="286"/>
      <c r="AZ514" s="286"/>
      <c r="BA514" s="286"/>
      <c r="BB514" s="286"/>
      <c r="BC514" s="286"/>
      <c r="BD514" s="287"/>
      <c r="BE514" s="287"/>
      <c r="BF514" s="287"/>
      <c r="BG514" s="288">
        <v>22</v>
      </c>
      <c r="BH514" s="287"/>
      <c r="BI514" s="287"/>
      <c r="BJ514" s="287"/>
      <c r="BK514" s="287"/>
      <c r="BL514" s="287"/>
      <c r="BM514" s="287"/>
      <c r="BN514" s="287"/>
      <c r="BO514" s="287"/>
      <c r="BP514" s="287"/>
      <c r="BQ514" s="287"/>
      <c r="BR514" s="287"/>
      <c r="BS514" s="287"/>
      <c r="BT514" s="287"/>
      <c r="BU514" s="287"/>
      <c r="BV514" s="287"/>
      <c r="BW514" s="287"/>
      <c r="BX514" s="286"/>
      <c r="BY514" s="289"/>
      <c r="BZ514" s="289">
        <v>22</v>
      </c>
      <c r="CA514" s="289"/>
      <c r="CB514" s="289"/>
      <c r="CC514" s="289"/>
      <c r="CD514" s="289"/>
      <c r="CE514" s="289"/>
      <c r="CF514" s="289"/>
      <c r="CG514" s="287"/>
      <c r="CH514" s="287"/>
      <c r="CI514" s="287"/>
      <c r="CJ514" s="287"/>
      <c r="CK514" s="287"/>
      <c r="CL514" s="287"/>
      <c r="CM514" s="287"/>
      <c r="CN514" s="287"/>
      <c r="CO514" s="287"/>
      <c r="CP514" s="287"/>
      <c r="CQ514" s="287"/>
      <c r="CR514" s="287">
        <v>24</v>
      </c>
      <c r="CS514" s="6"/>
      <c r="CT514" s="6"/>
      <c r="CU514" s="6"/>
      <c r="CV514" s="6"/>
      <c r="CW514" s="6"/>
      <c r="CX514" s="6"/>
      <c r="CY514" s="6"/>
      <c r="CZ514" s="6"/>
      <c r="DA514" s="343">
        <f t="shared" si="20"/>
        <v>18.98</v>
      </c>
    </row>
    <row r="515" spans="1:105" ht="20" customHeight="1" x14ac:dyDescent="0.35">
      <c r="A515" s="321"/>
      <c r="B515" s="270" t="s">
        <v>1030</v>
      </c>
      <c r="C515" s="270" t="s">
        <v>1545</v>
      </c>
      <c r="D515" s="297" t="s">
        <v>334</v>
      </c>
      <c r="E515" s="270" t="s">
        <v>370</v>
      </c>
      <c r="F515" s="270" t="s">
        <v>1823</v>
      </c>
      <c r="G515" s="270" t="s">
        <v>138</v>
      </c>
      <c r="H515" s="298"/>
      <c r="I515" s="292"/>
      <c r="J515" s="286"/>
      <c r="K515" s="286"/>
      <c r="L515" s="286"/>
      <c r="M515" s="286"/>
      <c r="N515" s="286"/>
      <c r="O515" s="286"/>
      <c r="P515" s="286"/>
      <c r="Q515" s="286"/>
      <c r="R515" s="286"/>
      <c r="S515" s="286"/>
      <c r="T515" s="286"/>
      <c r="U515" s="286"/>
      <c r="V515" s="294"/>
      <c r="W515" s="286"/>
      <c r="X515" s="286"/>
      <c r="Y515" s="286"/>
      <c r="Z515" s="286"/>
      <c r="AA515" s="286"/>
      <c r="AB515" s="286"/>
      <c r="AC515" s="286"/>
      <c r="AD515" s="286"/>
      <c r="AE515" s="286"/>
      <c r="AF515" s="286"/>
      <c r="AG515" s="286"/>
      <c r="AH515" s="286"/>
      <c r="AI515" s="286"/>
      <c r="AJ515" s="286"/>
      <c r="AK515" s="287"/>
      <c r="AL515" s="288"/>
      <c r="AM515" s="287"/>
      <c r="AN515" s="287"/>
      <c r="AO515" s="287"/>
      <c r="AP515" s="286"/>
      <c r="AQ515" s="296"/>
      <c r="AR515" s="286"/>
      <c r="AS515" s="286"/>
      <c r="AT515" s="286"/>
      <c r="AU515" s="286"/>
      <c r="AV515" s="286"/>
      <c r="AW515" s="286"/>
      <c r="AX515" s="286"/>
      <c r="AY515" s="286"/>
      <c r="AZ515" s="286"/>
      <c r="BA515" s="286"/>
      <c r="BB515" s="286"/>
      <c r="BC515" s="286"/>
      <c r="BD515" s="287"/>
      <c r="BE515" s="287"/>
      <c r="BF515" s="287"/>
      <c r="BG515" s="287"/>
      <c r="BH515" s="287"/>
      <c r="BI515" s="287"/>
      <c r="BJ515" s="287"/>
      <c r="BK515" s="287"/>
      <c r="BL515" s="287"/>
      <c r="BM515" s="287"/>
      <c r="BN515" s="287"/>
      <c r="BO515" s="287"/>
      <c r="BP515" s="287"/>
      <c r="BQ515" s="287"/>
      <c r="BR515" s="287"/>
      <c r="BS515" s="287"/>
      <c r="BT515" s="287"/>
      <c r="BU515" s="287"/>
      <c r="BV515" s="287"/>
      <c r="BW515" s="287"/>
      <c r="BX515" s="286"/>
      <c r="BY515" s="289"/>
      <c r="BZ515" s="289"/>
      <c r="CA515" s="289"/>
      <c r="CB515" s="289"/>
      <c r="CC515" s="289"/>
      <c r="CD515" s="289"/>
      <c r="CE515" s="289"/>
      <c r="CF515" s="289"/>
      <c r="CG515" s="287"/>
      <c r="CH515" s="287"/>
      <c r="CI515" s="287"/>
      <c r="CJ515" s="287"/>
      <c r="CK515" s="287"/>
      <c r="CL515" s="287"/>
      <c r="CM515" s="287"/>
      <c r="CN515" s="287"/>
      <c r="CO515" s="287"/>
      <c r="CP515" s="287"/>
      <c r="CQ515" s="287"/>
      <c r="CR515" s="287"/>
      <c r="CS515" s="6"/>
      <c r="CT515" s="6"/>
      <c r="CU515" s="6"/>
      <c r="CV515" s="6"/>
      <c r="CW515" s="6"/>
      <c r="CX515" s="6"/>
      <c r="CY515" s="6"/>
      <c r="CZ515" s="6"/>
      <c r="DA515" s="343">
        <f t="shared" si="20"/>
        <v>0</v>
      </c>
    </row>
    <row r="516" spans="1:105" ht="20" customHeight="1" x14ac:dyDescent="0.35">
      <c r="A516" s="337"/>
      <c r="B516" s="270" t="s">
        <v>1031</v>
      </c>
      <c r="C516" s="270" t="s">
        <v>1545</v>
      </c>
      <c r="D516" s="270"/>
      <c r="E516" s="270" t="s">
        <v>374</v>
      </c>
      <c r="F516" s="270" t="s">
        <v>1821</v>
      </c>
      <c r="G516" s="270" t="s">
        <v>138</v>
      </c>
      <c r="H516" s="298"/>
      <c r="I516" s="304"/>
      <c r="J516" s="286"/>
      <c r="K516" s="286"/>
      <c r="L516" s="286"/>
      <c r="M516" s="286"/>
      <c r="N516" s="286"/>
      <c r="O516" s="286"/>
      <c r="P516" s="286"/>
      <c r="Q516" s="286"/>
      <c r="R516" s="286"/>
      <c r="S516" s="286"/>
      <c r="T516" s="286"/>
      <c r="U516" s="286"/>
      <c r="V516" s="294"/>
      <c r="W516" s="286"/>
      <c r="X516" s="286"/>
      <c r="Y516" s="286"/>
      <c r="Z516" s="286"/>
      <c r="AA516" s="286"/>
      <c r="AB516" s="286"/>
      <c r="AC516" s="286"/>
      <c r="AD516" s="286"/>
      <c r="AE516" s="286"/>
      <c r="AF516" s="286"/>
      <c r="AG516" s="286"/>
      <c r="AH516" s="286"/>
      <c r="AI516" s="286"/>
      <c r="AJ516" s="286"/>
      <c r="AK516" s="287"/>
      <c r="AL516" s="288"/>
      <c r="AM516" s="287"/>
      <c r="AN516" s="287"/>
      <c r="AO516" s="287"/>
      <c r="AP516" s="286"/>
      <c r="AQ516" s="296"/>
      <c r="AR516" s="286"/>
      <c r="AS516" s="286"/>
      <c r="AT516" s="286"/>
      <c r="AU516" s="286"/>
      <c r="AV516" s="286"/>
      <c r="AW516" s="286"/>
      <c r="AX516" s="286"/>
      <c r="AY516" s="286"/>
      <c r="AZ516" s="286"/>
      <c r="BA516" s="286"/>
      <c r="BB516" s="286"/>
      <c r="BC516" s="286"/>
      <c r="BD516" s="287"/>
      <c r="BE516" s="287"/>
      <c r="BF516" s="287"/>
      <c r="BG516" s="287"/>
      <c r="BH516" s="287"/>
      <c r="BI516" s="287"/>
      <c r="BJ516" s="287"/>
      <c r="BK516" s="287"/>
      <c r="BL516" s="287"/>
      <c r="BM516" s="287"/>
      <c r="BN516" s="287"/>
      <c r="BO516" s="287"/>
      <c r="BP516" s="287"/>
      <c r="BQ516" s="287"/>
      <c r="BR516" s="287"/>
      <c r="BS516" s="287"/>
      <c r="BT516" s="287"/>
      <c r="BU516" s="287"/>
      <c r="BV516" s="287"/>
      <c r="BW516" s="287"/>
      <c r="BX516" s="286"/>
      <c r="BY516" s="289"/>
      <c r="BZ516" s="289"/>
      <c r="CA516" s="289"/>
      <c r="CB516" s="289"/>
      <c r="CC516" s="289"/>
      <c r="CD516" s="289"/>
      <c r="CE516" s="289"/>
      <c r="CF516" s="289"/>
      <c r="CG516" s="287"/>
      <c r="CH516" s="287"/>
      <c r="CI516" s="287"/>
      <c r="CJ516" s="287"/>
      <c r="CK516" s="287"/>
      <c r="CL516" s="287"/>
      <c r="CM516" s="287"/>
      <c r="CN516" s="287"/>
      <c r="CO516" s="287"/>
      <c r="CP516" s="287"/>
      <c r="CQ516" s="287"/>
      <c r="CR516" s="287"/>
      <c r="CS516" s="6"/>
      <c r="CT516" s="6"/>
      <c r="CU516" s="6"/>
      <c r="CV516" s="6"/>
      <c r="CW516" s="6"/>
      <c r="CX516" s="6"/>
      <c r="CY516" s="6"/>
      <c r="CZ516" s="6"/>
      <c r="DA516" s="343">
        <f t="shared" si="20"/>
        <v>0</v>
      </c>
    </row>
    <row r="517" spans="1:105" ht="20" customHeight="1" x14ac:dyDescent="0.35">
      <c r="A517" s="321"/>
      <c r="B517" s="270" t="s">
        <v>1032</v>
      </c>
      <c r="C517" s="270" t="s">
        <v>1545</v>
      </c>
      <c r="D517" s="297" t="s">
        <v>334</v>
      </c>
      <c r="E517" s="270" t="s">
        <v>370</v>
      </c>
      <c r="F517" s="270" t="s">
        <v>1821</v>
      </c>
      <c r="G517" s="270" t="s">
        <v>138</v>
      </c>
      <c r="H517" s="298">
        <v>25</v>
      </c>
      <c r="I517" s="292">
        <v>32</v>
      </c>
      <c r="J517" s="330"/>
      <c r="K517" s="286"/>
      <c r="L517" s="286"/>
      <c r="M517" s="286"/>
      <c r="N517" s="286"/>
      <c r="O517" s="286"/>
      <c r="P517" s="286"/>
      <c r="Q517" s="286"/>
      <c r="R517" s="286"/>
      <c r="S517" s="286"/>
      <c r="T517" s="330"/>
      <c r="U517" s="286"/>
      <c r="V517" s="294"/>
      <c r="W517" s="286"/>
      <c r="X517" s="286"/>
      <c r="Y517" s="286"/>
      <c r="Z517" s="286"/>
      <c r="AA517" s="286"/>
      <c r="AB517" s="286"/>
      <c r="AC517" s="286"/>
      <c r="AD517" s="286"/>
      <c r="AE517" s="286"/>
      <c r="AF517" s="286"/>
      <c r="AG517" s="286"/>
      <c r="AH517" s="286"/>
      <c r="AI517" s="286"/>
      <c r="AJ517" s="286"/>
      <c r="AK517" s="287">
        <v>32</v>
      </c>
      <c r="AL517" s="288"/>
      <c r="AM517" s="287"/>
      <c r="AN517" s="287"/>
      <c r="AO517" s="287"/>
      <c r="AP517" s="286"/>
      <c r="AQ517" s="296"/>
      <c r="AR517" s="286"/>
      <c r="AS517" s="286"/>
      <c r="AT517" s="286"/>
      <c r="AU517" s="286"/>
      <c r="AV517" s="286"/>
      <c r="AW517" s="286"/>
      <c r="AX517" s="286"/>
      <c r="AY517" s="286"/>
      <c r="AZ517" s="286"/>
      <c r="BA517" s="286"/>
      <c r="BB517" s="286"/>
      <c r="BC517" s="286"/>
      <c r="BD517" s="287"/>
      <c r="BE517" s="287"/>
      <c r="BF517" s="287"/>
      <c r="BG517" s="288">
        <v>32</v>
      </c>
      <c r="BH517" s="287"/>
      <c r="BI517" s="287"/>
      <c r="BJ517" s="287"/>
      <c r="BK517" s="287"/>
      <c r="BL517" s="287"/>
      <c r="BM517" s="287"/>
      <c r="BN517" s="287"/>
      <c r="BO517" s="287"/>
      <c r="BP517" s="287"/>
      <c r="BQ517" s="287"/>
      <c r="BR517" s="287"/>
      <c r="BS517" s="287"/>
      <c r="BT517" s="287"/>
      <c r="BU517" s="287"/>
      <c r="BV517" s="287"/>
      <c r="BW517" s="287"/>
      <c r="BX517" s="286"/>
      <c r="BY517" s="289"/>
      <c r="BZ517" s="289"/>
      <c r="CA517" s="289"/>
      <c r="CB517" s="289"/>
      <c r="CC517" s="289"/>
      <c r="CD517" s="289"/>
      <c r="CE517" s="289"/>
      <c r="CF517" s="289"/>
      <c r="CG517" s="287"/>
      <c r="CH517" s="287"/>
      <c r="CI517" s="287"/>
      <c r="CJ517" s="287"/>
      <c r="CK517" s="287"/>
      <c r="CL517" s="287"/>
      <c r="CM517" s="287"/>
      <c r="CN517" s="287"/>
      <c r="CO517" s="287"/>
      <c r="CP517" s="287"/>
      <c r="CQ517" s="287"/>
      <c r="CR517" s="287"/>
      <c r="CS517" s="288">
        <v>32</v>
      </c>
      <c r="CT517" s="6"/>
      <c r="CU517" s="6"/>
      <c r="CV517" s="6"/>
      <c r="CW517" s="6"/>
      <c r="CX517" s="6"/>
      <c r="CY517" s="6"/>
      <c r="CZ517" s="6"/>
      <c r="DA517" s="343">
        <f t="shared" si="20"/>
        <v>25</v>
      </c>
    </row>
    <row r="518" spans="1:105" ht="20" customHeight="1" x14ac:dyDescent="0.35">
      <c r="A518" s="321"/>
      <c r="B518" s="270" t="s">
        <v>1033</v>
      </c>
      <c r="C518" s="270" t="s">
        <v>1545</v>
      </c>
      <c r="D518" s="297" t="s">
        <v>334</v>
      </c>
      <c r="E518" s="270" t="s">
        <v>307</v>
      </c>
      <c r="F518" s="270" t="s">
        <v>1821</v>
      </c>
      <c r="G518" s="270" t="s">
        <v>138</v>
      </c>
      <c r="H518" s="298">
        <v>29</v>
      </c>
      <c r="I518" s="292">
        <v>32</v>
      </c>
      <c r="J518" s="330"/>
      <c r="K518" s="286"/>
      <c r="L518" s="286"/>
      <c r="M518" s="286"/>
      <c r="N518" s="286"/>
      <c r="O518" s="286"/>
      <c r="P518" s="286"/>
      <c r="Q518" s="286"/>
      <c r="R518" s="286"/>
      <c r="S518" s="286"/>
      <c r="T518" s="330"/>
      <c r="U518" s="286"/>
      <c r="V518" s="294"/>
      <c r="W518" s="286"/>
      <c r="X518" s="286"/>
      <c r="Y518" s="286"/>
      <c r="Z518" s="286"/>
      <c r="AA518" s="286"/>
      <c r="AB518" s="286"/>
      <c r="AC518" s="286"/>
      <c r="AD518" s="286"/>
      <c r="AE518" s="286"/>
      <c r="AF518" s="286"/>
      <c r="AG518" s="286"/>
      <c r="AH518" s="286"/>
      <c r="AI518" s="286"/>
      <c r="AJ518" s="286"/>
      <c r="AK518" s="287">
        <v>32</v>
      </c>
      <c r="AL518" s="288"/>
      <c r="AM518" s="287"/>
      <c r="AN518" s="287"/>
      <c r="AO518" s="287"/>
      <c r="AP518" s="286"/>
      <c r="AQ518" s="296"/>
      <c r="AR518" s="286"/>
      <c r="AS518" s="286"/>
      <c r="AT518" s="286"/>
      <c r="AU518" s="286"/>
      <c r="AV518" s="286"/>
      <c r="AW518" s="286"/>
      <c r="AX518" s="286"/>
      <c r="AY518" s="286"/>
      <c r="AZ518" s="286"/>
      <c r="BA518" s="286"/>
      <c r="BB518" s="286"/>
      <c r="BC518" s="286"/>
      <c r="BD518" s="287"/>
      <c r="BE518" s="287"/>
      <c r="BF518" s="287"/>
      <c r="BG518" s="287"/>
      <c r="BH518" s="287"/>
      <c r="BI518" s="287"/>
      <c r="BJ518" s="287"/>
      <c r="BK518" s="287"/>
      <c r="BL518" s="287"/>
      <c r="BM518" s="287"/>
      <c r="BN518" s="287"/>
      <c r="BO518" s="287"/>
      <c r="BP518" s="287"/>
      <c r="BQ518" s="287"/>
      <c r="BR518" s="287"/>
      <c r="BS518" s="287"/>
      <c r="BT518" s="287"/>
      <c r="BU518" s="287"/>
      <c r="BV518" s="287"/>
      <c r="BW518" s="287"/>
      <c r="BX518" s="286"/>
      <c r="BY518" s="289"/>
      <c r="BZ518" s="289"/>
      <c r="CA518" s="289"/>
      <c r="CB518" s="289"/>
      <c r="CC518" s="289"/>
      <c r="CD518" s="289"/>
      <c r="CE518" s="289"/>
      <c r="CF518" s="289"/>
      <c r="CG518" s="287"/>
      <c r="CH518" s="287"/>
      <c r="CI518" s="287"/>
      <c r="CJ518" s="287"/>
      <c r="CK518" s="287"/>
      <c r="CL518" s="287"/>
      <c r="CM518" s="287"/>
      <c r="CN518" s="287"/>
      <c r="CO518" s="287"/>
      <c r="CP518" s="287"/>
      <c r="CQ518" s="287"/>
      <c r="CR518" s="287"/>
      <c r="CS518" s="288">
        <v>32</v>
      </c>
      <c r="CT518" s="6"/>
      <c r="CU518" s="6"/>
      <c r="CV518" s="6"/>
      <c r="CW518" s="6"/>
      <c r="CX518" s="6"/>
      <c r="CY518" s="6"/>
      <c r="CZ518" s="6"/>
      <c r="DA518" s="343">
        <f t="shared" si="20"/>
        <v>29</v>
      </c>
    </row>
    <row r="519" spans="1:105" ht="20" customHeight="1" x14ac:dyDescent="0.35">
      <c r="A519" s="321" t="s">
        <v>92</v>
      </c>
      <c r="B519" s="270" t="s">
        <v>1034</v>
      </c>
      <c r="C519" s="270" t="s">
        <v>1545</v>
      </c>
      <c r="D519" s="297" t="s">
        <v>334</v>
      </c>
      <c r="E519" s="270" t="s">
        <v>1498</v>
      </c>
      <c r="F519" s="270" t="s">
        <v>1821</v>
      </c>
      <c r="G519" s="270" t="s">
        <v>138</v>
      </c>
      <c r="H519" s="298">
        <v>26</v>
      </c>
      <c r="I519" s="292">
        <v>32</v>
      </c>
      <c r="J519" s="330"/>
      <c r="K519" s="286"/>
      <c r="L519" s="286"/>
      <c r="M519" s="286"/>
      <c r="N519" s="286"/>
      <c r="O519" s="286"/>
      <c r="P519" s="286"/>
      <c r="Q519" s="286"/>
      <c r="R519" s="286"/>
      <c r="S519" s="286"/>
      <c r="T519" s="330"/>
      <c r="U519" s="286"/>
      <c r="V519" s="294"/>
      <c r="W519" s="286"/>
      <c r="X519" s="286"/>
      <c r="Y519" s="286"/>
      <c r="Z519" s="286"/>
      <c r="AA519" s="286"/>
      <c r="AB519" s="286"/>
      <c r="AC519" s="286"/>
      <c r="AD519" s="286"/>
      <c r="AE519" s="286"/>
      <c r="AF519" s="286"/>
      <c r="AG519" s="286"/>
      <c r="AH519" s="286"/>
      <c r="AI519" s="286"/>
      <c r="AJ519" s="286"/>
      <c r="AK519" s="287">
        <v>32</v>
      </c>
      <c r="AL519" s="288"/>
      <c r="AM519" s="287"/>
      <c r="AN519" s="287"/>
      <c r="AO519" s="287"/>
      <c r="AP519" s="286"/>
      <c r="AQ519" s="296"/>
      <c r="AR519" s="286"/>
      <c r="AS519" s="286"/>
      <c r="AT519" s="286"/>
      <c r="AU519" s="286"/>
      <c r="AV519" s="286"/>
      <c r="AW519" s="286"/>
      <c r="AX519" s="286"/>
      <c r="AY519" s="286"/>
      <c r="AZ519" s="286"/>
      <c r="BA519" s="286"/>
      <c r="BB519" s="286"/>
      <c r="BC519" s="286"/>
      <c r="BD519" s="287"/>
      <c r="BE519" s="287"/>
      <c r="BF519" s="287"/>
      <c r="BG519" s="288">
        <v>32</v>
      </c>
      <c r="BH519" s="287"/>
      <c r="BI519" s="287"/>
      <c r="BJ519" s="287"/>
      <c r="BK519" s="287"/>
      <c r="BL519" s="287"/>
      <c r="BM519" s="287"/>
      <c r="BN519" s="287"/>
      <c r="BO519" s="287"/>
      <c r="BP519" s="287"/>
      <c r="BQ519" s="287"/>
      <c r="BR519" s="287"/>
      <c r="BS519" s="287"/>
      <c r="BT519" s="287"/>
      <c r="BU519" s="287"/>
      <c r="BV519" s="287"/>
      <c r="BW519" s="287"/>
      <c r="BX519" s="286"/>
      <c r="BY519" s="289"/>
      <c r="BZ519" s="289"/>
      <c r="CA519" s="289"/>
      <c r="CB519" s="289"/>
      <c r="CC519" s="289"/>
      <c r="CD519" s="289"/>
      <c r="CE519" s="289"/>
      <c r="CF519" s="289"/>
      <c r="CG519" s="287"/>
      <c r="CH519" s="287"/>
      <c r="CI519" s="287"/>
      <c r="CJ519" s="287"/>
      <c r="CK519" s="287"/>
      <c r="CL519" s="287"/>
      <c r="CM519" s="287"/>
      <c r="CN519" s="287"/>
      <c r="CO519" s="287"/>
      <c r="CP519" s="287"/>
      <c r="CQ519" s="287"/>
      <c r="CR519" s="287"/>
      <c r="CS519" s="288">
        <v>32</v>
      </c>
      <c r="CT519" s="6"/>
      <c r="CU519" s="6"/>
      <c r="CV519" s="6"/>
      <c r="CW519" s="6"/>
      <c r="CX519" s="6"/>
      <c r="CY519" s="6"/>
      <c r="CZ519" s="6"/>
      <c r="DA519" s="343">
        <f t="shared" si="20"/>
        <v>26</v>
      </c>
    </row>
    <row r="520" spans="1:105" ht="20" customHeight="1" x14ac:dyDescent="0.35">
      <c r="A520" s="337"/>
      <c r="B520" s="270" t="s">
        <v>1035</v>
      </c>
      <c r="C520" s="270" t="s">
        <v>1545</v>
      </c>
      <c r="D520" s="270"/>
      <c r="E520" s="270" t="s">
        <v>373</v>
      </c>
      <c r="F520" s="270" t="s">
        <v>1823</v>
      </c>
      <c r="G520" s="270" t="s">
        <v>138</v>
      </c>
      <c r="H520" s="298"/>
      <c r="I520" s="280"/>
      <c r="J520" s="286"/>
      <c r="K520" s="286"/>
      <c r="L520" s="286"/>
      <c r="M520" s="286"/>
      <c r="N520" s="286"/>
      <c r="O520" s="286"/>
      <c r="P520" s="286"/>
      <c r="Q520" s="286"/>
      <c r="R520" s="286"/>
      <c r="S520" s="286"/>
      <c r="T520" s="286"/>
      <c r="U520" s="286"/>
      <c r="V520" s="294"/>
      <c r="W520" s="286"/>
      <c r="X520" s="286"/>
      <c r="Y520" s="286"/>
      <c r="Z520" s="286"/>
      <c r="AA520" s="286"/>
      <c r="AB520" s="286"/>
      <c r="AC520" s="286"/>
      <c r="AD520" s="286"/>
      <c r="AE520" s="286"/>
      <c r="AF520" s="286"/>
      <c r="AG520" s="286"/>
      <c r="AH520" s="286"/>
      <c r="AI520" s="286"/>
      <c r="AJ520" s="286"/>
      <c r="AK520" s="287"/>
      <c r="AL520" s="288"/>
      <c r="AM520" s="287"/>
      <c r="AN520" s="287"/>
      <c r="AO520" s="287"/>
      <c r="AP520" s="286"/>
      <c r="AQ520" s="296"/>
      <c r="AR520" s="286"/>
      <c r="AS520" s="286"/>
      <c r="AT520" s="286"/>
      <c r="AU520" s="286"/>
      <c r="AV520" s="286"/>
      <c r="AW520" s="286"/>
      <c r="AX520" s="286"/>
      <c r="AY520" s="286"/>
      <c r="AZ520" s="286"/>
      <c r="BA520" s="286"/>
      <c r="BB520" s="286"/>
      <c r="BC520" s="286"/>
      <c r="BD520" s="287"/>
      <c r="BE520" s="287"/>
      <c r="BF520" s="287"/>
      <c r="BG520" s="287"/>
      <c r="BH520" s="287"/>
      <c r="BI520" s="287"/>
      <c r="BJ520" s="287"/>
      <c r="BK520" s="287"/>
      <c r="BL520" s="287"/>
      <c r="BM520" s="287"/>
      <c r="BN520" s="287"/>
      <c r="BO520" s="287"/>
      <c r="BP520" s="287"/>
      <c r="BQ520" s="287"/>
      <c r="BR520" s="287"/>
      <c r="BS520" s="287"/>
      <c r="BT520" s="287"/>
      <c r="BU520" s="287"/>
      <c r="BV520" s="287"/>
      <c r="BW520" s="287"/>
      <c r="BX520" s="286"/>
      <c r="BY520" s="289"/>
      <c r="BZ520" s="289"/>
      <c r="CA520" s="289"/>
      <c r="CB520" s="289"/>
      <c r="CC520" s="289"/>
      <c r="CD520" s="289"/>
      <c r="CE520" s="289"/>
      <c r="CF520" s="289"/>
      <c r="CG520" s="287"/>
      <c r="CH520" s="287"/>
      <c r="CI520" s="287"/>
      <c r="CJ520" s="287"/>
      <c r="CK520" s="287"/>
      <c r="CL520" s="287"/>
      <c r="CM520" s="287"/>
      <c r="CN520" s="287"/>
      <c r="CO520" s="287"/>
      <c r="CP520" s="287"/>
      <c r="CQ520" s="287"/>
      <c r="CR520" s="287"/>
      <c r="CS520" s="6"/>
      <c r="CT520" s="6"/>
      <c r="CU520" s="6"/>
      <c r="CV520" s="6"/>
      <c r="CW520" s="6"/>
      <c r="CX520" s="6"/>
      <c r="CY520" s="6"/>
      <c r="CZ520" s="6"/>
      <c r="DA520" s="343">
        <f t="shared" si="20"/>
        <v>0</v>
      </c>
    </row>
    <row r="521" spans="1:105" ht="20" customHeight="1" x14ac:dyDescent="0.35">
      <c r="A521" s="337"/>
      <c r="B521" s="270" t="s">
        <v>1036</v>
      </c>
      <c r="C521" s="270" t="s">
        <v>382</v>
      </c>
      <c r="D521" s="270"/>
      <c r="E521" s="270" t="s">
        <v>1646</v>
      </c>
      <c r="F521" s="270" t="s">
        <v>1820</v>
      </c>
      <c r="G521" s="270" t="s">
        <v>36</v>
      </c>
      <c r="H521" s="298"/>
      <c r="I521" s="286"/>
      <c r="J521" s="286"/>
      <c r="K521" s="286"/>
      <c r="L521" s="286"/>
      <c r="M521" s="286"/>
      <c r="N521" s="286"/>
      <c r="O521" s="286"/>
      <c r="P521" s="286"/>
      <c r="Q521" s="286"/>
      <c r="R521" s="286"/>
      <c r="S521" s="286"/>
      <c r="T521" s="286"/>
      <c r="U521" s="286"/>
      <c r="V521" s="286"/>
      <c r="W521" s="286"/>
      <c r="X521" s="286"/>
      <c r="Y521" s="286"/>
      <c r="Z521" s="286"/>
      <c r="AA521" s="286"/>
      <c r="AB521" s="286"/>
      <c r="AC521" s="286"/>
      <c r="AD521" s="286"/>
      <c r="AE521" s="286"/>
      <c r="AF521" s="286"/>
      <c r="AG521" s="286"/>
      <c r="AH521" s="286"/>
      <c r="AI521" s="286"/>
      <c r="AJ521" s="286"/>
      <c r="AK521" s="287"/>
      <c r="AL521" s="288"/>
      <c r="AM521" s="287"/>
      <c r="AN521" s="287"/>
      <c r="AO521" s="287"/>
      <c r="AP521" s="286"/>
      <c r="AQ521" s="296"/>
      <c r="AR521" s="286"/>
      <c r="AS521" s="286"/>
      <c r="AT521" s="286"/>
      <c r="AU521" s="286"/>
      <c r="AV521" s="286"/>
      <c r="AW521" s="286"/>
      <c r="AX521" s="286"/>
      <c r="AY521" s="286"/>
      <c r="AZ521" s="286"/>
      <c r="BA521" s="286"/>
      <c r="BB521" s="286"/>
      <c r="BC521" s="286"/>
      <c r="BD521" s="287"/>
      <c r="BE521" s="287"/>
      <c r="BF521" s="287"/>
      <c r="BG521" s="287"/>
      <c r="BH521" s="287"/>
      <c r="BI521" s="287"/>
      <c r="BJ521" s="287"/>
      <c r="BK521" s="287"/>
      <c r="BL521" s="287"/>
      <c r="BM521" s="287"/>
      <c r="BN521" s="287"/>
      <c r="BO521" s="287"/>
      <c r="BP521" s="287"/>
      <c r="BQ521" s="287"/>
      <c r="BR521" s="287"/>
      <c r="BS521" s="287"/>
      <c r="BT521" s="287"/>
      <c r="BU521" s="287"/>
      <c r="BV521" s="287"/>
      <c r="BW521" s="287"/>
      <c r="BX521" s="286"/>
      <c r="BY521" s="289"/>
      <c r="BZ521" s="289"/>
      <c r="CA521" s="289"/>
      <c r="CB521" s="289"/>
      <c r="CC521" s="289"/>
      <c r="CD521" s="289"/>
      <c r="CE521" s="289"/>
      <c r="CF521" s="289"/>
      <c r="CG521" s="287"/>
      <c r="CH521" s="287"/>
      <c r="CI521" s="287"/>
      <c r="CJ521" s="287"/>
      <c r="CK521" s="287"/>
      <c r="CL521" s="287"/>
      <c r="CM521" s="287"/>
      <c r="CN521" s="287"/>
      <c r="CO521" s="287"/>
      <c r="CP521" s="287"/>
      <c r="CQ521" s="287"/>
      <c r="CR521" s="287"/>
      <c r="CS521" s="6"/>
      <c r="CT521" s="6"/>
      <c r="CU521" s="6"/>
      <c r="CV521" s="6"/>
      <c r="CW521" s="6"/>
      <c r="CX521" s="6"/>
      <c r="CY521" s="6"/>
      <c r="CZ521" s="6"/>
      <c r="DA521" s="343">
        <f t="shared" si="20"/>
        <v>0</v>
      </c>
    </row>
    <row r="522" spans="1:105" ht="20" customHeight="1" x14ac:dyDescent="0.35">
      <c r="A522" s="337"/>
      <c r="B522" s="270" t="s">
        <v>1037</v>
      </c>
      <c r="C522" s="270" t="s">
        <v>382</v>
      </c>
      <c r="D522" s="270"/>
      <c r="E522" s="270" t="s">
        <v>1646</v>
      </c>
      <c r="F522" s="270" t="s">
        <v>531</v>
      </c>
      <c r="G522" s="270" t="s">
        <v>36</v>
      </c>
      <c r="H522" s="298"/>
      <c r="I522" s="286"/>
      <c r="J522" s="286"/>
      <c r="K522" s="286"/>
      <c r="L522" s="286"/>
      <c r="M522" s="286"/>
      <c r="N522" s="286"/>
      <c r="O522" s="286"/>
      <c r="P522" s="286"/>
      <c r="Q522" s="286"/>
      <c r="R522" s="286"/>
      <c r="S522" s="286"/>
      <c r="T522" s="286"/>
      <c r="U522" s="286"/>
      <c r="V522" s="286"/>
      <c r="W522" s="286"/>
      <c r="X522" s="286"/>
      <c r="Y522" s="286"/>
      <c r="Z522" s="286"/>
      <c r="AA522" s="286"/>
      <c r="AB522" s="286"/>
      <c r="AC522" s="286"/>
      <c r="AD522" s="286"/>
      <c r="AE522" s="286"/>
      <c r="AF522" s="286"/>
      <c r="AG522" s="286"/>
      <c r="AH522" s="286"/>
      <c r="AI522" s="286"/>
      <c r="AJ522" s="286"/>
      <c r="AK522" s="287"/>
      <c r="AL522" s="288"/>
      <c r="AM522" s="287"/>
      <c r="AN522" s="287"/>
      <c r="AO522" s="287"/>
      <c r="AP522" s="286"/>
      <c r="AQ522" s="296"/>
      <c r="AR522" s="286"/>
      <c r="AS522" s="286"/>
      <c r="AT522" s="286"/>
      <c r="AU522" s="286"/>
      <c r="AV522" s="286"/>
      <c r="AW522" s="286"/>
      <c r="AX522" s="286"/>
      <c r="AY522" s="286"/>
      <c r="AZ522" s="286"/>
      <c r="BA522" s="286"/>
      <c r="BB522" s="286"/>
      <c r="BC522" s="286"/>
      <c r="BD522" s="287"/>
      <c r="BE522" s="287"/>
      <c r="BF522" s="287"/>
      <c r="BG522" s="287"/>
      <c r="BH522" s="287"/>
      <c r="BI522" s="287"/>
      <c r="BJ522" s="287"/>
      <c r="BK522" s="287"/>
      <c r="BL522" s="287"/>
      <c r="BM522" s="287"/>
      <c r="BN522" s="287"/>
      <c r="BO522" s="287"/>
      <c r="BP522" s="287"/>
      <c r="BQ522" s="287"/>
      <c r="BR522" s="287"/>
      <c r="BS522" s="287"/>
      <c r="BT522" s="287"/>
      <c r="BU522" s="287"/>
      <c r="BV522" s="287"/>
      <c r="BW522" s="287"/>
      <c r="BX522" s="286"/>
      <c r="BY522" s="289"/>
      <c r="BZ522" s="289"/>
      <c r="CA522" s="289"/>
      <c r="CB522" s="289"/>
      <c r="CC522" s="289"/>
      <c r="CD522" s="289"/>
      <c r="CE522" s="289"/>
      <c r="CF522" s="289"/>
      <c r="CG522" s="287"/>
      <c r="CH522" s="287"/>
      <c r="CI522" s="287"/>
      <c r="CJ522" s="287"/>
      <c r="CK522" s="287"/>
      <c r="CL522" s="287"/>
      <c r="CM522" s="287"/>
      <c r="CN522" s="287"/>
      <c r="CO522" s="287"/>
      <c r="CP522" s="287"/>
      <c r="CQ522" s="287"/>
      <c r="CR522" s="287"/>
      <c r="CS522" s="6"/>
      <c r="CT522" s="6"/>
      <c r="CU522" s="6"/>
      <c r="CV522" s="6"/>
      <c r="CW522" s="6"/>
      <c r="CX522" s="6"/>
      <c r="CY522" s="6"/>
      <c r="CZ522" s="6"/>
      <c r="DA522" s="343">
        <f t="shared" si="20"/>
        <v>0</v>
      </c>
    </row>
    <row r="523" spans="1:105" ht="20" customHeight="1" x14ac:dyDescent="0.35">
      <c r="A523" s="337"/>
      <c r="B523" s="270" t="s">
        <v>1038</v>
      </c>
      <c r="C523" s="270" t="s">
        <v>1545</v>
      </c>
      <c r="D523" s="270"/>
      <c r="E523" s="270" t="s">
        <v>1269</v>
      </c>
      <c r="F523" s="270" t="s">
        <v>1039</v>
      </c>
      <c r="G523" s="270" t="s">
        <v>766</v>
      </c>
      <c r="H523" s="298">
        <v>12</v>
      </c>
      <c r="I523" s="286"/>
      <c r="J523" s="286"/>
      <c r="K523" s="286"/>
      <c r="L523" s="286"/>
      <c r="M523" s="286"/>
      <c r="N523" s="286"/>
      <c r="O523" s="286"/>
      <c r="P523" s="286"/>
      <c r="Q523" s="286"/>
      <c r="R523" s="286"/>
      <c r="S523" s="286"/>
      <c r="T523" s="286"/>
      <c r="U523" s="286"/>
      <c r="V523" s="286"/>
      <c r="W523" s="286"/>
      <c r="X523" s="286"/>
      <c r="Y523" s="286"/>
      <c r="Z523" s="286"/>
      <c r="AA523" s="286"/>
      <c r="AB523" s="286"/>
      <c r="AC523" s="286"/>
      <c r="AD523" s="286"/>
      <c r="AE523" s="286"/>
      <c r="AF523" s="286"/>
      <c r="AG523" s="286"/>
      <c r="AH523" s="286"/>
      <c r="AI523" s="286"/>
      <c r="AJ523" s="286"/>
      <c r="AK523" s="287"/>
      <c r="AL523" s="288"/>
      <c r="AM523" s="287"/>
      <c r="AN523" s="287"/>
      <c r="AO523" s="287"/>
      <c r="AP523" s="286"/>
      <c r="AQ523" s="296"/>
      <c r="AR523" s="286"/>
      <c r="AS523" s="286"/>
      <c r="AT523" s="286"/>
      <c r="AU523" s="286"/>
      <c r="AV523" s="286"/>
      <c r="AW523" s="286"/>
      <c r="AX523" s="286"/>
      <c r="AY523" s="286"/>
      <c r="AZ523" s="286"/>
      <c r="BA523" s="286"/>
      <c r="BB523" s="286"/>
      <c r="BC523" s="286"/>
      <c r="BD523" s="287"/>
      <c r="BE523" s="287"/>
      <c r="BF523" s="287"/>
      <c r="BG523" s="288">
        <v>18</v>
      </c>
      <c r="BH523" s="287"/>
      <c r="BI523" s="287"/>
      <c r="BJ523" s="287"/>
      <c r="BK523" s="287"/>
      <c r="BL523" s="287"/>
      <c r="BM523" s="287"/>
      <c r="BN523" s="287"/>
      <c r="BO523" s="287"/>
      <c r="BP523" s="287"/>
      <c r="BQ523" s="287"/>
      <c r="BR523" s="287"/>
      <c r="BS523" s="287"/>
      <c r="BT523" s="287"/>
      <c r="BU523" s="287"/>
      <c r="BV523" s="287"/>
      <c r="BW523" s="287"/>
      <c r="BX523" s="286"/>
      <c r="BY523" s="289"/>
      <c r="BZ523" s="289"/>
      <c r="CA523" s="289"/>
      <c r="CB523" s="289"/>
      <c r="CC523" s="289"/>
      <c r="CD523" s="289"/>
      <c r="CE523" s="289"/>
      <c r="CF523" s="289"/>
      <c r="CG523" s="287"/>
      <c r="CH523" s="287"/>
      <c r="CI523" s="287"/>
      <c r="CJ523" s="287"/>
      <c r="CK523" s="287"/>
      <c r="CL523" s="287"/>
      <c r="CM523" s="287"/>
      <c r="CN523" s="287"/>
      <c r="CO523" s="287"/>
      <c r="CP523" s="287"/>
      <c r="CQ523" s="287"/>
      <c r="CR523" s="287"/>
      <c r="CS523" s="6"/>
      <c r="CT523" s="6"/>
      <c r="CU523" s="6"/>
      <c r="CV523" s="6"/>
      <c r="CW523" s="6"/>
      <c r="CX523" s="6"/>
      <c r="CY523" s="6"/>
      <c r="CZ523" s="6"/>
      <c r="DA523" s="343">
        <f t="shared" si="20"/>
        <v>12</v>
      </c>
    </row>
    <row r="524" spans="1:105" ht="20" customHeight="1" x14ac:dyDescent="0.35">
      <c r="A524" s="321"/>
      <c r="B524" s="270" t="s">
        <v>1040</v>
      </c>
      <c r="C524" s="270" t="s">
        <v>1545</v>
      </c>
      <c r="D524" s="270"/>
      <c r="E524" s="270" t="s">
        <v>1041</v>
      </c>
      <c r="F524" s="270" t="s">
        <v>1039</v>
      </c>
      <c r="G524" s="270" t="s">
        <v>766</v>
      </c>
      <c r="H524" s="298">
        <v>14.95</v>
      </c>
      <c r="I524" s="292"/>
      <c r="J524" s="286"/>
      <c r="K524" s="286"/>
      <c r="L524" s="286"/>
      <c r="M524" s="286"/>
      <c r="N524" s="286"/>
      <c r="O524" s="286"/>
      <c r="P524" s="286"/>
      <c r="Q524" s="286"/>
      <c r="R524" s="286"/>
      <c r="S524" s="286"/>
      <c r="T524" s="286"/>
      <c r="U524" s="286"/>
      <c r="V524" s="293"/>
      <c r="W524" s="286"/>
      <c r="X524" s="286"/>
      <c r="Y524" s="286"/>
      <c r="Z524" s="286"/>
      <c r="AA524" s="286"/>
      <c r="AB524" s="286"/>
      <c r="AC524" s="286"/>
      <c r="AD524" s="286"/>
      <c r="AE524" s="286"/>
      <c r="AF524" s="286"/>
      <c r="AG524" s="286"/>
      <c r="AH524" s="286"/>
      <c r="AI524" s="286"/>
      <c r="AJ524" s="286"/>
      <c r="AK524" s="287"/>
      <c r="AL524" s="288"/>
      <c r="AM524" s="287"/>
      <c r="AN524" s="287"/>
      <c r="AO524" s="287"/>
      <c r="AP524" s="286"/>
      <c r="AQ524" s="296"/>
      <c r="AR524" s="286"/>
      <c r="AS524" s="286"/>
      <c r="AT524" s="286"/>
      <c r="AU524" s="286"/>
      <c r="AV524" s="286"/>
      <c r="AW524" s="286"/>
      <c r="AX524" s="286"/>
      <c r="AY524" s="286"/>
      <c r="AZ524" s="286"/>
      <c r="BA524" s="286"/>
      <c r="BB524" s="286"/>
      <c r="BC524" s="286"/>
      <c r="BD524" s="287"/>
      <c r="BE524" s="287"/>
      <c r="BF524" s="287"/>
      <c r="BG524" s="287"/>
      <c r="BH524" s="287"/>
      <c r="BI524" s="287"/>
      <c r="BJ524" s="287"/>
      <c r="BK524" s="287"/>
      <c r="BL524" s="287"/>
      <c r="BM524" s="287"/>
      <c r="BN524" s="287"/>
      <c r="BO524" s="287"/>
      <c r="BP524" s="287"/>
      <c r="BQ524" s="287"/>
      <c r="BR524" s="287"/>
      <c r="BS524" s="287"/>
      <c r="BT524" s="287"/>
      <c r="BU524" s="287"/>
      <c r="BV524" s="287"/>
      <c r="BW524" s="287"/>
      <c r="BX524" s="286"/>
      <c r="BY524" s="289"/>
      <c r="BZ524" s="289"/>
      <c r="CA524" s="289"/>
      <c r="CB524" s="289"/>
      <c r="CC524" s="289"/>
      <c r="CD524" s="289"/>
      <c r="CE524" s="289"/>
      <c r="CF524" s="289"/>
      <c r="CG524" s="287"/>
      <c r="CH524" s="287"/>
      <c r="CI524" s="287"/>
      <c r="CJ524" s="287"/>
      <c r="CK524" s="287"/>
      <c r="CL524" s="287"/>
      <c r="CM524" s="287"/>
      <c r="CN524" s="287"/>
      <c r="CO524" s="287"/>
      <c r="CP524" s="287"/>
      <c r="CQ524" s="287"/>
      <c r="CR524" s="287"/>
      <c r="CS524" s="6"/>
      <c r="CT524" s="6"/>
      <c r="CU524" s="6"/>
      <c r="CV524" s="6"/>
      <c r="CW524" s="6"/>
      <c r="CX524" s="6"/>
      <c r="CY524" s="6"/>
      <c r="CZ524" s="6"/>
      <c r="DA524" s="343">
        <f t="shared" si="20"/>
        <v>14.95</v>
      </c>
    </row>
    <row r="525" spans="1:105" ht="20" customHeight="1" x14ac:dyDescent="0.35">
      <c r="A525" s="337"/>
      <c r="B525" s="270" t="s">
        <v>1042</v>
      </c>
      <c r="C525" s="270" t="s">
        <v>1545</v>
      </c>
      <c r="D525" s="270"/>
      <c r="E525" s="270" t="s">
        <v>372</v>
      </c>
      <c r="F525" s="270" t="s">
        <v>1043</v>
      </c>
      <c r="G525" s="270" t="s">
        <v>766</v>
      </c>
      <c r="H525" s="298">
        <v>0</v>
      </c>
      <c r="I525" s="286">
        <v>32</v>
      </c>
      <c r="J525" s="286"/>
      <c r="K525" s="286"/>
      <c r="L525" s="286"/>
      <c r="M525" s="286"/>
      <c r="N525" s="286"/>
      <c r="O525" s="286"/>
      <c r="P525" s="286"/>
      <c r="Q525" s="286"/>
      <c r="R525" s="286"/>
      <c r="S525" s="286"/>
      <c r="T525" s="286"/>
      <c r="U525" s="286"/>
      <c r="V525" s="294"/>
      <c r="W525" s="286"/>
      <c r="X525" s="286"/>
      <c r="Y525" s="286"/>
      <c r="Z525" s="286"/>
      <c r="AA525" s="286"/>
      <c r="AB525" s="286"/>
      <c r="AC525" s="286"/>
      <c r="AD525" s="286"/>
      <c r="AE525" s="286"/>
      <c r="AF525" s="286"/>
      <c r="AG525" s="286"/>
      <c r="AH525" s="286"/>
      <c r="AI525" s="286"/>
      <c r="AJ525" s="286"/>
      <c r="AK525" s="287"/>
      <c r="AL525" s="288"/>
      <c r="AM525" s="287"/>
      <c r="AN525" s="287"/>
      <c r="AO525" s="287"/>
      <c r="AP525" s="286"/>
      <c r="AQ525" s="296"/>
      <c r="AR525" s="286"/>
      <c r="AS525" s="286"/>
      <c r="AT525" s="286"/>
      <c r="AU525" s="286"/>
      <c r="AV525" s="286"/>
      <c r="AW525" s="286"/>
      <c r="AX525" s="286"/>
      <c r="AY525" s="286"/>
      <c r="AZ525" s="286"/>
      <c r="BA525" s="286"/>
      <c r="BB525" s="286"/>
      <c r="BC525" s="286"/>
      <c r="BD525" s="287"/>
      <c r="BE525" s="287"/>
      <c r="BF525" s="287"/>
      <c r="BG525" s="287"/>
      <c r="BH525" s="287"/>
      <c r="BI525" s="287"/>
      <c r="BJ525" s="287"/>
      <c r="BK525" s="287"/>
      <c r="BL525" s="287"/>
      <c r="BM525" s="287"/>
      <c r="BN525" s="287"/>
      <c r="BO525" s="287"/>
      <c r="BP525" s="287"/>
      <c r="BQ525" s="287"/>
      <c r="BR525" s="287"/>
      <c r="BS525" s="287"/>
      <c r="BT525" s="287"/>
      <c r="BU525" s="287"/>
      <c r="BV525" s="287"/>
      <c r="BW525" s="287"/>
      <c r="BX525" s="286"/>
      <c r="BY525" s="289"/>
      <c r="BZ525" s="289"/>
      <c r="CA525" s="289"/>
      <c r="CB525" s="289"/>
      <c r="CC525" s="289"/>
      <c r="CD525" s="289"/>
      <c r="CE525" s="289"/>
      <c r="CF525" s="289"/>
      <c r="CG525" s="287"/>
      <c r="CH525" s="287"/>
      <c r="CI525" s="287"/>
      <c r="CJ525" s="287"/>
      <c r="CK525" s="287"/>
      <c r="CL525" s="287"/>
      <c r="CM525" s="287"/>
      <c r="CN525" s="287"/>
      <c r="CO525" s="287"/>
      <c r="CP525" s="287"/>
      <c r="CQ525" s="287"/>
      <c r="CR525" s="287"/>
      <c r="CS525" s="6"/>
      <c r="CT525" s="6"/>
      <c r="CU525" s="6"/>
      <c r="CV525" s="6"/>
      <c r="CW525" s="6"/>
      <c r="CX525" s="6"/>
      <c r="CY525" s="6"/>
      <c r="CZ525" s="6"/>
      <c r="DA525" s="343">
        <f t="shared" si="20"/>
        <v>0</v>
      </c>
    </row>
    <row r="526" spans="1:105" ht="20" customHeight="1" x14ac:dyDescent="0.35">
      <c r="A526" s="338"/>
      <c r="B526" s="270" t="s">
        <v>1324</v>
      </c>
      <c r="C526" s="270" t="s">
        <v>1325</v>
      </c>
      <c r="D526" s="270" t="s">
        <v>513</v>
      </c>
      <c r="E526" s="270" t="s">
        <v>1326</v>
      </c>
      <c r="F526" s="270" t="s">
        <v>1327</v>
      </c>
      <c r="G526" s="270" t="s">
        <v>36</v>
      </c>
      <c r="H526" s="339">
        <v>26.4</v>
      </c>
      <c r="I526" s="280">
        <v>32</v>
      </c>
      <c r="J526" s="280"/>
      <c r="K526" s="280"/>
      <c r="L526" s="280"/>
      <c r="M526" s="280"/>
      <c r="N526" s="280"/>
      <c r="O526" s="280"/>
      <c r="P526" s="280"/>
      <c r="Q526" s="280"/>
      <c r="R526" s="280"/>
      <c r="S526" s="280"/>
      <c r="T526" s="280"/>
      <c r="U526" s="280"/>
      <c r="V526" s="282"/>
      <c r="W526" s="280"/>
      <c r="X526" s="280"/>
      <c r="Y526" s="280"/>
      <c r="Z526" s="280"/>
      <c r="AA526" s="280"/>
      <c r="AB526" s="280"/>
      <c r="AC526" s="280"/>
      <c r="AD526" s="280"/>
      <c r="AE526" s="280">
        <v>31.4</v>
      </c>
      <c r="AF526" s="280"/>
      <c r="AG526" s="280"/>
      <c r="AH526" s="280"/>
      <c r="AI526" s="280"/>
      <c r="AJ526" s="280"/>
      <c r="AK526" s="283"/>
      <c r="AL526" s="284"/>
      <c r="AM526" s="283"/>
      <c r="AN526" s="283"/>
      <c r="AO526" s="283"/>
      <c r="AP526" s="280"/>
      <c r="AQ526" s="285"/>
      <c r="AR526" s="280"/>
      <c r="AS526" s="280"/>
      <c r="AT526" s="280"/>
      <c r="AU526" s="280"/>
      <c r="AV526" s="280"/>
      <c r="AW526" s="280"/>
      <c r="AX526" s="280"/>
      <c r="AY526" s="280"/>
      <c r="AZ526" s="280"/>
      <c r="BA526" s="280"/>
      <c r="BB526" s="280"/>
      <c r="BC526" s="280"/>
      <c r="BD526" s="283"/>
      <c r="BE526" s="283"/>
      <c r="BF526" s="283"/>
      <c r="BG526" s="284">
        <v>28</v>
      </c>
      <c r="BH526" s="283"/>
      <c r="BI526" s="283"/>
      <c r="BJ526" s="283"/>
      <c r="BK526" s="283"/>
      <c r="BL526" s="283"/>
      <c r="BM526" s="283"/>
      <c r="BN526" s="283"/>
      <c r="BO526" s="283"/>
      <c r="BP526" s="283"/>
      <c r="BQ526" s="283"/>
      <c r="BR526" s="283"/>
      <c r="BS526" s="283"/>
      <c r="BT526" s="283"/>
      <c r="BU526" s="283"/>
      <c r="BV526" s="283"/>
      <c r="BW526" s="283"/>
      <c r="BX526" s="280"/>
      <c r="BY526" s="340"/>
      <c r="BZ526" s="340"/>
      <c r="CA526" s="340"/>
      <c r="CB526" s="340"/>
      <c r="CC526" s="340"/>
      <c r="CD526" s="340"/>
      <c r="CE526" s="340"/>
      <c r="CF526" s="340"/>
      <c r="CG526" s="283"/>
      <c r="CH526" s="283"/>
      <c r="CI526" s="283"/>
      <c r="CJ526" s="283"/>
      <c r="CK526" s="283"/>
      <c r="CL526" s="283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343">
        <f t="shared" si="20"/>
        <v>26.4</v>
      </c>
    </row>
    <row r="527" spans="1:105" ht="20" customHeight="1" x14ac:dyDescent="0.35">
      <c r="A527" s="338"/>
      <c r="B527" s="272" t="s">
        <v>1515</v>
      </c>
      <c r="C527" s="272" t="s">
        <v>1516</v>
      </c>
      <c r="D527" s="272" t="s">
        <v>513</v>
      </c>
      <c r="E527" s="272" t="s">
        <v>1517</v>
      </c>
      <c r="F527" s="272" t="s">
        <v>315</v>
      </c>
      <c r="G527" s="272" t="s">
        <v>40</v>
      </c>
      <c r="H527" s="339">
        <v>35</v>
      </c>
      <c r="I527" s="280">
        <v>40</v>
      </c>
      <c r="J527" s="280"/>
      <c r="K527" s="280"/>
      <c r="L527" s="280"/>
      <c r="M527" s="280"/>
      <c r="N527" s="280"/>
      <c r="O527" s="280"/>
      <c r="P527" s="280"/>
      <c r="Q527" s="280"/>
      <c r="R527" s="280"/>
      <c r="S527" s="280"/>
      <c r="T527" s="280"/>
      <c r="U527" s="280"/>
      <c r="V527" s="282"/>
      <c r="W527" s="280"/>
      <c r="X527" s="280"/>
      <c r="Y527" s="280"/>
      <c r="Z527" s="280"/>
      <c r="AA527" s="280"/>
      <c r="AB527" s="280"/>
      <c r="AC527" s="280"/>
      <c r="AD527" s="280"/>
      <c r="AE527" s="280"/>
      <c r="AF527" s="280"/>
      <c r="AG527" s="280"/>
      <c r="AH527" s="280"/>
      <c r="AI527" s="280"/>
      <c r="AJ527" s="280"/>
      <c r="AK527" s="283"/>
      <c r="AL527" s="284"/>
      <c r="AM527" s="283"/>
      <c r="AN527" s="283"/>
      <c r="AO527" s="283"/>
      <c r="AP527" s="280"/>
      <c r="AQ527" s="285"/>
      <c r="AR527" s="280"/>
      <c r="AS527" s="280"/>
      <c r="AT527" s="280"/>
      <c r="AU527" s="280"/>
      <c r="AV527" s="280"/>
      <c r="AW527" s="280"/>
      <c r="AX527" s="280"/>
      <c r="AY527" s="280"/>
      <c r="AZ527" s="280"/>
      <c r="BA527" s="280"/>
      <c r="BB527" s="280"/>
      <c r="BC527" s="280"/>
      <c r="BD527" s="283"/>
      <c r="BE527" s="283"/>
      <c r="BF527" s="283"/>
      <c r="BG527" s="284"/>
      <c r="BH527" s="283"/>
      <c r="BI527" s="283"/>
      <c r="BJ527" s="283"/>
      <c r="BK527" s="283"/>
      <c r="BL527" s="283"/>
      <c r="BM527" s="283"/>
      <c r="BN527" s="283"/>
      <c r="BO527" s="283"/>
      <c r="BP527" s="283"/>
      <c r="BQ527" s="283"/>
      <c r="BR527" s="283"/>
      <c r="BS527" s="283"/>
      <c r="BT527" s="283"/>
      <c r="BU527" s="283"/>
      <c r="BV527" s="283"/>
      <c r="BW527" s="283"/>
      <c r="BX527" s="280"/>
      <c r="BY527" s="340"/>
      <c r="BZ527" s="340"/>
      <c r="CA527" s="340"/>
      <c r="CB527" s="340"/>
      <c r="CC527" s="340"/>
      <c r="CD527" s="340"/>
      <c r="CE527" s="340"/>
      <c r="CF527" s="340"/>
      <c r="CG527" s="283"/>
      <c r="CH527" s="283"/>
      <c r="CI527" s="283"/>
      <c r="CJ527" s="283"/>
      <c r="CK527" s="283"/>
      <c r="CL527" s="283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343">
        <f t="shared" si="20"/>
        <v>35</v>
      </c>
    </row>
    <row r="528" spans="1:105" ht="20" customHeight="1" x14ac:dyDescent="0.35">
      <c r="A528" s="338"/>
      <c r="B528" s="270" t="s">
        <v>2184</v>
      </c>
      <c r="C528" s="270" t="s">
        <v>1545</v>
      </c>
      <c r="D528" s="272"/>
      <c r="E528" s="270" t="s">
        <v>2185</v>
      </c>
      <c r="F528" s="270" t="s">
        <v>1043</v>
      </c>
      <c r="G528" s="270" t="s">
        <v>766</v>
      </c>
      <c r="H528" s="339">
        <v>35</v>
      </c>
      <c r="I528" s="280">
        <v>45</v>
      </c>
      <c r="J528" s="280"/>
      <c r="K528" s="280"/>
      <c r="L528" s="280"/>
      <c r="M528" s="280"/>
      <c r="N528" s="280"/>
      <c r="O528" s="280"/>
      <c r="P528" s="280"/>
      <c r="Q528" s="280"/>
      <c r="R528" s="280"/>
      <c r="S528" s="280"/>
      <c r="T528" s="280"/>
      <c r="U528" s="280"/>
      <c r="V528" s="282"/>
      <c r="W528" s="280"/>
      <c r="X528" s="280"/>
      <c r="Y528" s="280"/>
      <c r="Z528" s="280"/>
      <c r="AA528" s="280"/>
      <c r="AB528" s="280"/>
      <c r="AC528" s="280"/>
      <c r="AD528" s="280"/>
      <c r="AE528" s="280"/>
      <c r="AF528" s="280"/>
      <c r="AG528" s="280"/>
      <c r="AH528" s="280"/>
      <c r="AI528" s="280"/>
      <c r="AJ528" s="280"/>
      <c r="AK528" s="283"/>
      <c r="AL528" s="284"/>
      <c r="AM528" s="283"/>
      <c r="AN528" s="283"/>
      <c r="AO528" s="283"/>
      <c r="AP528" s="280"/>
      <c r="AQ528" s="285"/>
      <c r="AR528" s="280"/>
      <c r="AS528" s="280"/>
      <c r="AT528" s="280"/>
      <c r="AU528" s="280"/>
      <c r="AV528" s="280"/>
      <c r="AW528" s="280"/>
      <c r="AX528" s="280"/>
      <c r="AY528" s="280"/>
      <c r="AZ528" s="280"/>
      <c r="BA528" s="280"/>
      <c r="BB528" s="280"/>
      <c r="BC528" s="280"/>
      <c r="BD528" s="283"/>
      <c r="BE528" s="283"/>
      <c r="BF528" s="283"/>
      <c r="BG528" s="284"/>
      <c r="BH528" s="283"/>
      <c r="BI528" s="283"/>
      <c r="BJ528" s="283"/>
      <c r="BK528" s="283"/>
      <c r="BL528" s="283"/>
      <c r="BM528" s="283"/>
      <c r="BN528" s="283"/>
      <c r="BO528" s="283"/>
      <c r="BP528" s="283"/>
      <c r="BQ528" s="283"/>
      <c r="BR528" s="283"/>
      <c r="BS528" s="283"/>
      <c r="BT528" s="283"/>
      <c r="BU528" s="283"/>
      <c r="BV528" s="283"/>
      <c r="BW528" s="283"/>
      <c r="BX528" s="280"/>
      <c r="BY528" s="340"/>
      <c r="BZ528" s="340"/>
      <c r="CA528" s="340"/>
      <c r="CB528" s="340"/>
      <c r="CC528" s="340"/>
      <c r="CD528" s="340"/>
      <c r="CE528" s="340"/>
      <c r="CF528" s="340"/>
      <c r="CG528" s="283"/>
      <c r="CH528" s="283"/>
      <c r="CI528" s="283"/>
      <c r="CJ528" s="283"/>
      <c r="CK528" s="283"/>
      <c r="CL528" s="283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343">
        <f t="shared" si="20"/>
        <v>35</v>
      </c>
    </row>
    <row r="529" spans="1:105" ht="20" customHeight="1" x14ac:dyDescent="0.35">
      <c r="A529" s="338"/>
      <c r="B529" s="272" t="s">
        <v>1044</v>
      </c>
      <c r="C529" s="272" t="s">
        <v>1083</v>
      </c>
      <c r="D529" s="272" t="s">
        <v>513</v>
      </c>
      <c r="E529" s="272" t="s">
        <v>54</v>
      </c>
      <c r="F529" s="272" t="s">
        <v>612</v>
      </c>
      <c r="G529" s="272" t="s">
        <v>522</v>
      </c>
      <c r="H529" s="339">
        <v>7.7</v>
      </c>
      <c r="I529" s="280"/>
      <c r="J529" s="280"/>
      <c r="K529" s="280"/>
      <c r="L529" s="280"/>
      <c r="M529" s="280"/>
      <c r="N529" s="280"/>
      <c r="O529" s="280"/>
      <c r="P529" s="280"/>
      <c r="Q529" s="280"/>
      <c r="R529" s="280"/>
      <c r="S529" s="280"/>
      <c r="T529" s="280"/>
      <c r="U529" s="280"/>
      <c r="V529" s="282"/>
      <c r="W529" s="280"/>
      <c r="X529" s="280"/>
      <c r="Y529" s="280"/>
      <c r="Z529" s="280"/>
      <c r="AA529" s="280"/>
      <c r="AB529" s="280"/>
      <c r="AC529" s="280"/>
      <c r="AD529" s="280"/>
      <c r="AE529" s="280"/>
      <c r="AF529" s="280"/>
      <c r="AG529" s="341"/>
      <c r="AH529" s="280"/>
      <c r="AI529" s="280"/>
      <c r="AJ529" s="280"/>
      <c r="AK529" s="283"/>
      <c r="AL529" s="284"/>
      <c r="AM529" s="283"/>
      <c r="AN529" s="283"/>
      <c r="AO529" s="283"/>
      <c r="AP529" s="280"/>
      <c r="AQ529" s="285"/>
      <c r="AR529" s="280"/>
      <c r="AS529" s="280"/>
      <c r="AT529" s="280"/>
      <c r="AU529" s="280"/>
      <c r="AV529" s="280"/>
      <c r="AW529" s="280"/>
      <c r="AX529" s="280"/>
      <c r="AY529" s="280"/>
      <c r="AZ529" s="280"/>
      <c r="BA529" s="280"/>
      <c r="BB529" s="280"/>
      <c r="BC529" s="280"/>
      <c r="BD529" s="283"/>
      <c r="BE529" s="283"/>
      <c r="BF529" s="283"/>
      <c r="BG529" s="283"/>
      <c r="BH529" s="283"/>
      <c r="BI529" s="283"/>
      <c r="BJ529" s="283"/>
      <c r="BK529" s="283"/>
      <c r="BL529" s="283"/>
      <c r="BM529" s="283"/>
      <c r="BN529" s="283"/>
      <c r="BO529" s="283"/>
      <c r="BP529" s="283"/>
      <c r="BQ529" s="283"/>
      <c r="BR529" s="283"/>
      <c r="BS529" s="283"/>
      <c r="BT529" s="283"/>
      <c r="BU529" s="283"/>
      <c r="BV529" s="283"/>
      <c r="BW529" s="283"/>
      <c r="BX529" s="280"/>
      <c r="BY529" s="340"/>
      <c r="BZ529" s="340"/>
      <c r="CA529" s="340">
        <v>9.6999999999999993</v>
      </c>
      <c r="CB529" s="340"/>
      <c r="CC529" s="340"/>
      <c r="CD529" s="340"/>
      <c r="CE529" s="340"/>
      <c r="CF529" s="340"/>
      <c r="CG529" s="283"/>
      <c r="CH529" s="283"/>
      <c r="CI529" s="283"/>
      <c r="CJ529" s="283"/>
      <c r="CK529" s="283"/>
      <c r="CL529" s="283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344"/>
    </row>
    <row r="530" spans="1:105" ht="20" customHeight="1" x14ac:dyDescent="0.35">
      <c r="A530" s="337"/>
      <c r="B530" s="270" t="s">
        <v>1088</v>
      </c>
      <c r="C530" s="270" t="s">
        <v>1084</v>
      </c>
      <c r="D530" s="270" t="s">
        <v>513</v>
      </c>
      <c r="E530" s="270" t="s">
        <v>54</v>
      </c>
      <c r="F530" s="270" t="s">
        <v>612</v>
      </c>
      <c r="G530" s="270" t="s">
        <v>522</v>
      </c>
      <c r="H530" s="298"/>
      <c r="I530" s="286"/>
      <c r="J530" s="286"/>
      <c r="K530" s="286"/>
      <c r="L530" s="286"/>
      <c r="M530" s="286"/>
      <c r="N530" s="286"/>
      <c r="O530" s="286"/>
      <c r="P530" s="286"/>
      <c r="Q530" s="286"/>
      <c r="R530" s="286"/>
      <c r="S530" s="286"/>
      <c r="T530" s="286"/>
      <c r="U530" s="286"/>
      <c r="V530" s="294"/>
      <c r="W530" s="286"/>
      <c r="X530" s="286"/>
      <c r="Y530" s="286"/>
      <c r="Z530" s="286"/>
      <c r="AA530" s="286"/>
      <c r="AB530" s="286"/>
      <c r="AC530" s="286"/>
      <c r="AD530" s="286"/>
      <c r="AE530" s="286"/>
      <c r="AF530" s="286"/>
      <c r="AG530" s="293"/>
      <c r="AH530" s="286"/>
      <c r="AI530" s="286"/>
      <c r="AJ530" s="286"/>
      <c r="AK530" s="287"/>
      <c r="AL530" s="288"/>
      <c r="AM530" s="287"/>
      <c r="AN530" s="287"/>
      <c r="AO530" s="287"/>
      <c r="AP530" s="286"/>
      <c r="AQ530" s="296"/>
      <c r="AR530" s="286"/>
      <c r="AS530" s="286"/>
      <c r="AT530" s="286"/>
      <c r="AU530" s="286"/>
      <c r="AV530" s="286"/>
      <c r="AW530" s="286"/>
      <c r="AX530" s="286"/>
      <c r="AY530" s="286"/>
      <c r="AZ530" s="286"/>
      <c r="BA530" s="286"/>
      <c r="BB530" s="286"/>
      <c r="BC530" s="286"/>
      <c r="BD530" s="287"/>
      <c r="BE530" s="287"/>
      <c r="BF530" s="287"/>
      <c r="BG530" s="287"/>
      <c r="BH530" s="287"/>
      <c r="BI530" s="287"/>
      <c r="BJ530" s="287"/>
      <c r="BK530" s="287"/>
      <c r="BL530" s="287"/>
      <c r="BM530" s="287"/>
      <c r="BN530" s="287"/>
      <c r="BO530" s="287"/>
      <c r="BP530" s="287"/>
      <c r="BQ530" s="287"/>
      <c r="BR530" s="287"/>
      <c r="BS530" s="287"/>
      <c r="BT530" s="287"/>
      <c r="BU530" s="287"/>
      <c r="BV530" s="287"/>
      <c r="BW530" s="287"/>
      <c r="BX530" s="286"/>
      <c r="BY530" s="289"/>
      <c r="BZ530" s="289"/>
      <c r="CA530" s="289">
        <v>9.6999999999999993</v>
      </c>
      <c r="CB530" s="289"/>
      <c r="CC530" s="289"/>
      <c r="CD530" s="289"/>
      <c r="CE530" s="289"/>
      <c r="CF530" s="289"/>
      <c r="CG530" s="287"/>
      <c r="CH530" s="287"/>
      <c r="CI530" s="287"/>
      <c r="CJ530" s="287"/>
      <c r="CK530" s="287"/>
      <c r="CL530" s="287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344"/>
    </row>
    <row r="531" spans="1:105" ht="20" customHeight="1" x14ac:dyDescent="0.35">
      <c r="A531" s="337"/>
      <c r="B531" s="270" t="s">
        <v>1089</v>
      </c>
      <c r="C531" s="270" t="s">
        <v>1085</v>
      </c>
      <c r="D531" s="270" t="s">
        <v>513</v>
      </c>
      <c r="E531" s="270" t="s">
        <v>54</v>
      </c>
      <c r="F531" s="270" t="s">
        <v>612</v>
      </c>
      <c r="G531" s="270" t="s">
        <v>522</v>
      </c>
      <c r="H531" s="298"/>
      <c r="I531" s="286"/>
      <c r="J531" s="286"/>
      <c r="K531" s="286"/>
      <c r="L531" s="286"/>
      <c r="M531" s="286"/>
      <c r="N531" s="286"/>
      <c r="O531" s="286"/>
      <c r="P531" s="286"/>
      <c r="Q531" s="286"/>
      <c r="R531" s="286"/>
      <c r="S531" s="286"/>
      <c r="T531" s="286"/>
      <c r="U531" s="286"/>
      <c r="V531" s="294"/>
      <c r="W531" s="286"/>
      <c r="X531" s="286"/>
      <c r="Y531" s="286"/>
      <c r="Z531" s="286"/>
      <c r="AA531" s="286"/>
      <c r="AB531" s="286"/>
      <c r="AC531" s="286"/>
      <c r="AD531" s="286"/>
      <c r="AE531" s="286"/>
      <c r="AF531" s="286"/>
      <c r="AG531" s="293"/>
      <c r="AH531" s="286"/>
      <c r="AI531" s="286"/>
      <c r="AJ531" s="286"/>
      <c r="AK531" s="287"/>
      <c r="AL531" s="288"/>
      <c r="AM531" s="287"/>
      <c r="AN531" s="287"/>
      <c r="AO531" s="287"/>
      <c r="AP531" s="286"/>
      <c r="AQ531" s="296"/>
      <c r="AR531" s="286"/>
      <c r="AS531" s="286"/>
      <c r="AT531" s="286"/>
      <c r="AU531" s="286"/>
      <c r="AV531" s="286"/>
      <c r="AW531" s="286"/>
      <c r="AX531" s="286"/>
      <c r="AY531" s="286"/>
      <c r="AZ531" s="286"/>
      <c r="BA531" s="286"/>
      <c r="BB531" s="286"/>
      <c r="BC531" s="286"/>
      <c r="BD531" s="287"/>
      <c r="BE531" s="287"/>
      <c r="BF531" s="287"/>
      <c r="BG531" s="287"/>
      <c r="BH531" s="287"/>
      <c r="BI531" s="287"/>
      <c r="BJ531" s="287"/>
      <c r="BK531" s="287"/>
      <c r="BL531" s="287"/>
      <c r="BM531" s="287"/>
      <c r="BN531" s="287"/>
      <c r="BO531" s="287"/>
      <c r="BP531" s="287"/>
      <c r="BQ531" s="287"/>
      <c r="BR531" s="287"/>
      <c r="BS531" s="287"/>
      <c r="BT531" s="287"/>
      <c r="BU531" s="287"/>
      <c r="BV531" s="287"/>
      <c r="BW531" s="287"/>
      <c r="BX531" s="286"/>
      <c r="BY531" s="289"/>
      <c r="BZ531" s="289"/>
      <c r="CA531" s="289">
        <v>9.6999999999999993</v>
      </c>
      <c r="CB531" s="289"/>
      <c r="CC531" s="289"/>
      <c r="CD531" s="289"/>
      <c r="CE531" s="289"/>
      <c r="CF531" s="289"/>
      <c r="CG531" s="287"/>
      <c r="CH531" s="287"/>
      <c r="CI531" s="287"/>
      <c r="CJ531" s="287"/>
      <c r="CK531" s="287"/>
      <c r="CL531" s="287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344"/>
    </row>
    <row r="532" spans="1:105" ht="20" customHeight="1" x14ac:dyDescent="0.35">
      <c r="A532" s="337"/>
      <c r="B532" s="270" t="s">
        <v>1090</v>
      </c>
      <c r="C532" s="270" t="s">
        <v>1091</v>
      </c>
      <c r="D532" s="270" t="s">
        <v>513</v>
      </c>
      <c r="E532" s="270" t="s">
        <v>54</v>
      </c>
      <c r="F532" s="270" t="s">
        <v>612</v>
      </c>
      <c r="G532" s="270" t="s">
        <v>522</v>
      </c>
      <c r="H532" s="298"/>
      <c r="I532" s="286"/>
      <c r="J532" s="286"/>
      <c r="K532" s="286"/>
      <c r="L532" s="286"/>
      <c r="M532" s="286"/>
      <c r="N532" s="286"/>
      <c r="O532" s="286"/>
      <c r="P532" s="286"/>
      <c r="Q532" s="286"/>
      <c r="R532" s="286"/>
      <c r="S532" s="286"/>
      <c r="T532" s="286"/>
      <c r="U532" s="286"/>
      <c r="V532" s="294"/>
      <c r="W532" s="286"/>
      <c r="X532" s="286"/>
      <c r="Y532" s="286"/>
      <c r="Z532" s="286"/>
      <c r="AA532" s="286"/>
      <c r="AB532" s="286"/>
      <c r="AC532" s="286"/>
      <c r="AD532" s="286"/>
      <c r="AE532" s="286"/>
      <c r="AF532" s="286"/>
      <c r="AG532" s="293"/>
      <c r="AH532" s="286"/>
      <c r="AI532" s="286"/>
      <c r="AJ532" s="286"/>
      <c r="AK532" s="287"/>
      <c r="AL532" s="288"/>
      <c r="AM532" s="287"/>
      <c r="AN532" s="287"/>
      <c r="AO532" s="287"/>
      <c r="AP532" s="286"/>
      <c r="AQ532" s="296"/>
      <c r="AR532" s="286"/>
      <c r="AS532" s="286"/>
      <c r="AT532" s="286"/>
      <c r="AU532" s="286"/>
      <c r="AV532" s="286"/>
      <c r="AW532" s="286"/>
      <c r="AX532" s="286"/>
      <c r="AY532" s="286"/>
      <c r="AZ532" s="286"/>
      <c r="BA532" s="286"/>
      <c r="BB532" s="286"/>
      <c r="BC532" s="286"/>
      <c r="BD532" s="287"/>
      <c r="BE532" s="287"/>
      <c r="BF532" s="287"/>
      <c r="BG532" s="287"/>
      <c r="BH532" s="287"/>
      <c r="BI532" s="287"/>
      <c r="BJ532" s="287"/>
      <c r="BK532" s="287"/>
      <c r="BL532" s="287"/>
      <c r="BM532" s="287"/>
      <c r="BN532" s="287"/>
      <c r="BO532" s="287"/>
      <c r="BP532" s="287"/>
      <c r="BQ532" s="287"/>
      <c r="BR532" s="287"/>
      <c r="BS532" s="287"/>
      <c r="BT532" s="287"/>
      <c r="BU532" s="287"/>
      <c r="BV532" s="287"/>
      <c r="BW532" s="287"/>
      <c r="BX532" s="286"/>
      <c r="BY532" s="289"/>
      <c r="BZ532" s="289"/>
      <c r="CA532" s="289">
        <v>9.6999999999999993</v>
      </c>
      <c r="CB532" s="289"/>
      <c r="CC532" s="289"/>
      <c r="CD532" s="289"/>
      <c r="CE532" s="289"/>
      <c r="CF532" s="289"/>
      <c r="CG532" s="287"/>
      <c r="CH532" s="287"/>
      <c r="CI532" s="287"/>
      <c r="CJ532" s="287"/>
      <c r="CK532" s="287"/>
      <c r="CL532" s="287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344"/>
    </row>
    <row r="533" spans="1:105" ht="20" customHeight="1" x14ac:dyDescent="0.35">
      <c r="A533" s="337"/>
      <c r="B533" s="270" t="s">
        <v>1093</v>
      </c>
      <c r="C533" s="270" t="s">
        <v>1092</v>
      </c>
      <c r="D533" s="270" t="s">
        <v>513</v>
      </c>
      <c r="E533" s="270" t="s">
        <v>54</v>
      </c>
      <c r="F533" s="270" t="s">
        <v>612</v>
      </c>
      <c r="G533" s="270" t="s">
        <v>522</v>
      </c>
      <c r="H533" s="298">
        <v>8</v>
      </c>
      <c r="I533" s="286"/>
      <c r="J533" s="286"/>
      <c r="K533" s="286"/>
      <c r="L533" s="286"/>
      <c r="M533" s="286"/>
      <c r="N533" s="286"/>
      <c r="O533" s="286"/>
      <c r="P533" s="286"/>
      <c r="Q533" s="286"/>
      <c r="R533" s="286"/>
      <c r="S533" s="286"/>
      <c r="T533" s="286"/>
      <c r="U533" s="286"/>
      <c r="V533" s="294"/>
      <c r="W533" s="286"/>
      <c r="X533" s="286"/>
      <c r="Y533" s="286"/>
      <c r="Z533" s="286"/>
      <c r="AA533" s="286"/>
      <c r="AB533" s="286"/>
      <c r="AC533" s="286"/>
      <c r="AD533" s="286"/>
      <c r="AE533" s="286"/>
      <c r="AF533" s="286"/>
      <c r="AG533" s="293"/>
      <c r="AH533" s="286"/>
      <c r="AI533" s="286"/>
      <c r="AJ533" s="286"/>
      <c r="AK533" s="287"/>
      <c r="AL533" s="288"/>
      <c r="AM533" s="287"/>
      <c r="AN533" s="287"/>
      <c r="AO533" s="287"/>
      <c r="AP533" s="286"/>
      <c r="AQ533" s="296"/>
      <c r="AR533" s="286"/>
      <c r="AS533" s="286"/>
      <c r="AT533" s="286"/>
      <c r="AU533" s="286"/>
      <c r="AV533" s="286"/>
      <c r="AW533" s="286"/>
      <c r="AX533" s="286"/>
      <c r="AY533" s="286"/>
      <c r="AZ533" s="286"/>
      <c r="BA533" s="286"/>
      <c r="BB533" s="286"/>
      <c r="BC533" s="286"/>
      <c r="BD533" s="287"/>
      <c r="BE533" s="287"/>
      <c r="BF533" s="287"/>
      <c r="BG533" s="287"/>
      <c r="BH533" s="287"/>
      <c r="BI533" s="287"/>
      <c r="BJ533" s="287"/>
      <c r="BK533" s="287"/>
      <c r="BL533" s="287"/>
      <c r="BM533" s="287"/>
      <c r="BN533" s="287"/>
      <c r="BO533" s="287"/>
      <c r="BP533" s="287"/>
      <c r="BQ533" s="287"/>
      <c r="BR533" s="287"/>
      <c r="BS533" s="287"/>
      <c r="BT533" s="287"/>
      <c r="BU533" s="287"/>
      <c r="BV533" s="287"/>
      <c r="BW533" s="287"/>
      <c r="BX533" s="286"/>
      <c r="BY533" s="289"/>
      <c r="BZ533" s="289"/>
      <c r="CA533" s="289">
        <v>9.6999999999999993</v>
      </c>
      <c r="CB533" s="289"/>
      <c r="CC533" s="289"/>
      <c r="CD533" s="289"/>
      <c r="CE533" s="289"/>
      <c r="CF533" s="289"/>
      <c r="CG533" s="287"/>
      <c r="CH533" s="287"/>
      <c r="CI533" s="287"/>
      <c r="CJ533" s="287"/>
      <c r="CK533" s="287"/>
      <c r="CL533" s="287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344"/>
    </row>
    <row r="534" spans="1:105" ht="20" customHeight="1" x14ac:dyDescent="0.35">
      <c r="A534" s="337"/>
      <c r="B534" s="270" t="s">
        <v>1094</v>
      </c>
      <c r="C534" s="270" t="s">
        <v>1095</v>
      </c>
      <c r="D534" s="270" t="s">
        <v>513</v>
      </c>
      <c r="E534" s="270" t="s">
        <v>54</v>
      </c>
      <c r="F534" s="270" t="s">
        <v>612</v>
      </c>
      <c r="G534" s="270" t="s">
        <v>522</v>
      </c>
      <c r="H534" s="298"/>
      <c r="I534" s="286"/>
      <c r="J534" s="286"/>
      <c r="K534" s="286"/>
      <c r="L534" s="286"/>
      <c r="M534" s="286"/>
      <c r="N534" s="286"/>
      <c r="O534" s="286"/>
      <c r="P534" s="286"/>
      <c r="Q534" s="286"/>
      <c r="R534" s="286"/>
      <c r="S534" s="286"/>
      <c r="T534" s="286"/>
      <c r="U534" s="286"/>
      <c r="V534" s="294"/>
      <c r="W534" s="286"/>
      <c r="X534" s="286"/>
      <c r="Y534" s="286"/>
      <c r="Z534" s="286"/>
      <c r="AA534" s="286"/>
      <c r="AB534" s="286"/>
      <c r="AC534" s="286"/>
      <c r="AD534" s="286"/>
      <c r="AE534" s="286"/>
      <c r="AF534" s="286"/>
      <c r="AG534" s="293"/>
      <c r="AH534" s="286"/>
      <c r="AI534" s="286"/>
      <c r="AJ534" s="286"/>
      <c r="AK534" s="287"/>
      <c r="AL534" s="288"/>
      <c r="AM534" s="287"/>
      <c r="AN534" s="287"/>
      <c r="AO534" s="287"/>
      <c r="AP534" s="286"/>
      <c r="AQ534" s="296"/>
      <c r="AR534" s="286"/>
      <c r="AS534" s="286"/>
      <c r="AT534" s="286"/>
      <c r="AU534" s="286"/>
      <c r="AV534" s="286"/>
      <c r="AW534" s="286"/>
      <c r="AX534" s="286"/>
      <c r="AY534" s="286"/>
      <c r="AZ534" s="286"/>
      <c r="BA534" s="286"/>
      <c r="BB534" s="286"/>
      <c r="BC534" s="286"/>
      <c r="BD534" s="287"/>
      <c r="BE534" s="287"/>
      <c r="BF534" s="287"/>
      <c r="BG534" s="287"/>
      <c r="BH534" s="287"/>
      <c r="BI534" s="287"/>
      <c r="BJ534" s="287"/>
      <c r="BK534" s="287"/>
      <c r="BL534" s="287"/>
      <c r="BM534" s="287"/>
      <c r="BN534" s="287"/>
      <c r="BO534" s="287"/>
      <c r="BP534" s="287"/>
      <c r="BQ534" s="287"/>
      <c r="BR534" s="287"/>
      <c r="BS534" s="287"/>
      <c r="BT534" s="287"/>
      <c r="BU534" s="287"/>
      <c r="BV534" s="287"/>
      <c r="BW534" s="287"/>
      <c r="BX534" s="286"/>
      <c r="BY534" s="289"/>
      <c r="BZ534" s="289"/>
      <c r="CA534" s="289">
        <v>9.6999999999999993</v>
      </c>
      <c r="CB534" s="289"/>
      <c r="CC534" s="289"/>
      <c r="CD534" s="289"/>
      <c r="CE534" s="289"/>
      <c r="CF534" s="289"/>
      <c r="CG534" s="287"/>
      <c r="CH534" s="287"/>
      <c r="CI534" s="287"/>
      <c r="CJ534" s="287"/>
      <c r="CK534" s="287"/>
      <c r="CL534" s="287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344"/>
    </row>
    <row r="535" spans="1:105" ht="20" customHeight="1" x14ac:dyDescent="0.35">
      <c r="A535" s="337"/>
      <c r="B535" s="270" t="s">
        <v>1096</v>
      </c>
      <c r="C535" s="270" t="s">
        <v>1097</v>
      </c>
      <c r="D535" s="270" t="s">
        <v>513</v>
      </c>
      <c r="E535" s="270" t="s">
        <v>54</v>
      </c>
      <c r="F535" s="270" t="s">
        <v>1100</v>
      </c>
      <c r="G535" s="270" t="s">
        <v>207</v>
      </c>
      <c r="H535" s="298"/>
      <c r="I535" s="286"/>
      <c r="J535" s="286"/>
      <c r="K535" s="286"/>
      <c r="L535" s="286"/>
      <c r="M535" s="286"/>
      <c r="N535" s="286"/>
      <c r="O535" s="286"/>
      <c r="P535" s="286"/>
      <c r="Q535" s="286"/>
      <c r="R535" s="286"/>
      <c r="S535" s="286"/>
      <c r="T535" s="286"/>
      <c r="U535" s="286"/>
      <c r="V535" s="294"/>
      <c r="W535" s="286"/>
      <c r="X535" s="286"/>
      <c r="Y535" s="286"/>
      <c r="Z535" s="286"/>
      <c r="AA535" s="286"/>
      <c r="AB535" s="286"/>
      <c r="AC535" s="286"/>
      <c r="AD535" s="286"/>
      <c r="AE535" s="286"/>
      <c r="AF535" s="286"/>
      <c r="AG535" s="293"/>
      <c r="AH535" s="286"/>
      <c r="AI535" s="286"/>
      <c r="AJ535" s="286"/>
      <c r="AK535" s="287"/>
      <c r="AL535" s="288"/>
      <c r="AM535" s="287"/>
      <c r="AN535" s="287"/>
      <c r="AO535" s="287"/>
      <c r="AP535" s="286"/>
      <c r="AQ535" s="296"/>
      <c r="AR535" s="286"/>
      <c r="AS535" s="286"/>
      <c r="AT535" s="286"/>
      <c r="AU535" s="286"/>
      <c r="AV535" s="286"/>
      <c r="AW535" s="286"/>
      <c r="AX535" s="286"/>
      <c r="AY535" s="286"/>
      <c r="AZ535" s="286"/>
      <c r="BA535" s="286"/>
      <c r="BB535" s="286"/>
      <c r="BC535" s="286"/>
      <c r="BD535" s="287"/>
      <c r="BE535" s="287"/>
      <c r="BF535" s="287"/>
      <c r="BG535" s="287"/>
      <c r="BH535" s="287"/>
      <c r="BI535" s="287"/>
      <c r="BJ535" s="287"/>
      <c r="BK535" s="287"/>
      <c r="BL535" s="287"/>
      <c r="BM535" s="287"/>
      <c r="BN535" s="287"/>
      <c r="BO535" s="287"/>
      <c r="BP535" s="287"/>
      <c r="BQ535" s="287"/>
      <c r="BR535" s="287"/>
      <c r="BS535" s="287"/>
      <c r="BT535" s="287"/>
      <c r="BU535" s="287"/>
      <c r="BV535" s="287"/>
      <c r="BW535" s="287"/>
      <c r="BX535" s="286"/>
      <c r="BY535" s="289"/>
      <c r="BZ535" s="289"/>
      <c r="CA535" s="289">
        <v>6</v>
      </c>
      <c r="CB535" s="289"/>
      <c r="CC535" s="289"/>
      <c r="CD535" s="289"/>
      <c r="CE535" s="289"/>
      <c r="CF535" s="289"/>
      <c r="CG535" s="287"/>
      <c r="CH535" s="287"/>
      <c r="CI535" s="287"/>
      <c r="CJ535" s="287"/>
      <c r="CK535" s="287"/>
      <c r="CL535" s="287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344"/>
    </row>
    <row r="536" spans="1:105" ht="20" customHeight="1" x14ac:dyDescent="0.35">
      <c r="A536" s="337"/>
      <c r="B536" s="270" t="s">
        <v>1098</v>
      </c>
      <c r="C536" s="270" t="s">
        <v>1099</v>
      </c>
      <c r="D536" s="270" t="s">
        <v>513</v>
      </c>
      <c r="E536" s="270" t="s">
        <v>54</v>
      </c>
      <c r="F536" s="270" t="s">
        <v>32</v>
      </c>
      <c r="G536" s="270" t="s">
        <v>207</v>
      </c>
      <c r="H536" s="298"/>
      <c r="I536" s="286"/>
      <c r="J536" s="286"/>
      <c r="K536" s="286"/>
      <c r="L536" s="286"/>
      <c r="M536" s="286"/>
      <c r="N536" s="286"/>
      <c r="O536" s="286"/>
      <c r="P536" s="286"/>
      <c r="Q536" s="286"/>
      <c r="R536" s="286"/>
      <c r="S536" s="286"/>
      <c r="T536" s="286"/>
      <c r="U536" s="286"/>
      <c r="V536" s="294"/>
      <c r="W536" s="286"/>
      <c r="X536" s="286"/>
      <c r="Y536" s="286"/>
      <c r="Z536" s="286"/>
      <c r="AA536" s="286"/>
      <c r="AB536" s="286"/>
      <c r="AC536" s="286"/>
      <c r="AD536" s="286"/>
      <c r="AE536" s="286"/>
      <c r="AF536" s="286"/>
      <c r="AG536" s="293"/>
      <c r="AH536" s="286"/>
      <c r="AI536" s="286"/>
      <c r="AJ536" s="286"/>
      <c r="AK536" s="287"/>
      <c r="AL536" s="288"/>
      <c r="AM536" s="287"/>
      <c r="AN536" s="287"/>
      <c r="AO536" s="287"/>
      <c r="AP536" s="286"/>
      <c r="AQ536" s="296"/>
      <c r="AR536" s="286"/>
      <c r="AS536" s="286"/>
      <c r="AT536" s="286"/>
      <c r="AU536" s="286"/>
      <c r="AV536" s="286"/>
      <c r="AW536" s="286"/>
      <c r="AX536" s="286"/>
      <c r="AY536" s="286"/>
      <c r="AZ536" s="286"/>
      <c r="BA536" s="286"/>
      <c r="BB536" s="286"/>
      <c r="BC536" s="286"/>
      <c r="BD536" s="287"/>
      <c r="BE536" s="287"/>
      <c r="BF536" s="287"/>
      <c r="BG536" s="287"/>
      <c r="BH536" s="287"/>
      <c r="BI536" s="287"/>
      <c r="BJ536" s="287"/>
      <c r="BK536" s="287"/>
      <c r="BL536" s="287"/>
      <c r="BM536" s="287"/>
      <c r="BN536" s="287"/>
      <c r="BO536" s="287"/>
      <c r="BP536" s="287"/>
      <c r="BQ536" s="287"/>
      <c r="BR536" s="287"/>
      <c r="BS536" s="287"/>
      <c r="BT536" s="287"/>
      <c r="BU536" s="287"/>
      <c r="BV536" s="287"/>
      <c r="BW536" s="287"/>
      <c r="BX536" s="286"/>
      <c r="BY536" s="289"/>
      <c r="BZ536" s="289"/>
      <c r="CA536" s="289">
        <v>4</v>
      </c>
      <c r="CB536" s="289"/>
      <c r="CC536" s="289"/>
      <c r="CD536" s="289"/>
      <c r="CE536" s="289"/>
      <c r="CF536" s="289"/>
      <c r="CG536" s="287"/>
      <c r="CH536" s="287"/>
      <c r="CI536" s="287"/>
      <c r="CJ536" s="287"/>
      <c r="CK536" s="287"/>
      <c r="CL536" s="287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344"/>
    </row>
    <row r="537" spans="1:105" ht="20" customHeight="1" x14ac:dyDescent="0.35">
      <c r="A537" s="337"/>
      <c r="B537" s="270" t="s">
        <v>1103</v>
      </c>
      <c r="C537" s="270" t="s">
        <v>651</v>
      </c>
      <c r="D537" s="270" t="s">
        <v>513</v>
      </c>
      <c r="E537" s="270" t="s">
        <v>34</v>
      </c>
      <c r="F537" s="270" t="s">
        <v>78</v>
      </c>
      <c r="G537" s="270" t="s">
        <v>38</v>
      </c>
      <c r="H537" s="298"/>
      <c r="I537" s="286"/>
      <c r="J537" s="286"/>
      <c r="K537" s="286"/>
      <c r="L537" s="286">
        <v>6</v>
      </c>
      <c r="M537" s="286"/>
      <c r="N537" s="286"/>
      <c r="O537" s="286"/>
      <c r="P537" s="286"/>
      <c r="Q537" s="286"/>
      <c r="R537" s="286"/>
      <c r="S537" s="286"/>
      <c r="T537" s="286"/>
      <c r="U537" s="286"/>
      <c r="V537" s="294"/>
      <c r="W537" s="286"/>
      <c r="X537" s="286"/>
      <c r="Y537" s="286"/>
      <c r="Z537" s="286"/>
      <c r="AA537" s="286"/>
      <c r="AB537" s="286"/>
      <c r="AC537" s="286"/>
      <c r="AD537" s="286"/>
      <c r="AE537" s="286"/>
      <c r="AF537" s="286"/>
      <c r="AG537" s="293"/>
      <c r="AH537" s="286"/>
      <c r="AI537" s="286"/>
      <c r="AJ537" s="286"/>
      <c r="AK537" s="287"/>
      <c r="AL537" s="288"/>
      <c r="AM537" s="287"/>
      <c r="AN537" s="287"/>
      <c r="AO537" s="287"/>
      <c r="AP537" s="286"/>
      <c r="AQ537" s="296"/>
      <c r="AR537" s="286"/>
      <c r="AS537" s="286"/>
      <c r="AT537" s="286"/>
      <c r="AU537" s="286"/>
      <c r="AV537" s="286"/>
      <c r="AW537" s="286"/>
      <c r="AX537" s="286"/>
      <c r="AY537" s="286"/>
      <c r="AZ537" s="286"/>
      <c r="BA537" s="286"/>
      <c r="BB537" s="286"/>
      <c r="BC537" s="286"/>
      <c r="BD537" s="287"/>
      <c r="BE537" s="287"/>
      <c r="BF537" s="287"/>
      <c r="BG537" s="287"/>
      <c r="BH537" s="287"/>
      <c r="BI537" s="287"/>
      <c r="BJ537" s="287"/>
      <c r="BK537" s="287"/>
      <c r="BL537" s="287"/>
      <c r="BM537" s="287"/>
      <c r="BN537" s="287"/>
      <c r="BO537" s="287"/>
      <c r="BP537" s="287"/>
      <c r="BQ537" s="287"/>
      <c r="BR537" s="287"/>
      <c r="BS537" s="287"/>
      <c r="BT537" s="287"/>
      <c r="BU537" s="287"/>
      <c r="BV537" s="287"/>
      <c r="BW537" s="287"/>
      <c r="BX537" s="286"/>
      <c r="BY537" s="289"/>
      <c r="BZ537" s="289"/>
      <c r="CA537" s="289"/>
      <c r="CB537" s="289"/>
      <c r="CC537" s="289"/>
      <c r="CD537" s="289"/>
      <c r="CE537" s="289"/>
      <c r="CF537" s="289"/>
      <c r="CG537" s="287"/>
      <c r="CH537" s="287"/>
      <c r="CI537" s="287"/>
      <c r="CJ537" s="287"/>
      <c r="CK537" s="287"/>
      <c r="CL537" s="287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344"/>
    </row>
  </sheetData>
  <autoFilter ref="A2:DA537" xr:uid="{3704E0B5-B148-4711-9D8A-43230952AEE0}"/>
  <sortState xmlns:xlrd2="http://schemas.microsoft.com/office/spreadsheetml/2017/richdata2" ref="A3:H537">
    <sortCondition ref="A3:A537"/>
  </sortState>
  <phoneticPr fontId="11" type="noConversion"/>
  <pageMargins left="0.51181102362204722" right="0.11811023622047245" top="2.3622047244094491" bottom="1.1811023622047245" header="0.31496062992125984" footer="0.31496062992125984"/>
  <pageSetup paperSize="9" scale="62" fitToHeight="0" orientation="portrait" horizontalDpi="300" verticalDpi="3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00B57-B8DD-474B-B1CD-9185838AD40C}">
  <sheetPr codeName="Sheet193">
    <tabColor rgb="FFFFC000"/>
    <pageSetUpPr fitToPage="1"/>
  </sheetPr>
  <dimension ref="B1:N48"/>
  <sheetViews>
    <sheetView topLeftCell="A12" zoomScaleNormal="100" workbookViewId="0">
      <selection activeCell="H21" sqref="H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2.7265625" style="19" customWidth="1"/>
    <col min="12" max="12" width="14.3632812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99</v>
      </c>
      <c r="J10" s="24" t="s">
        <v>27</v>
      </c>
      <c r="K10" s="502">
        <v>202504264</v>
      </c>
      <c r="L10" s="503"/>
    </row>
    <row r="11" spans="2:12" ht="20.149999999999999" customHeight="1" x14ac:dyDescent="0.45">
      <c r="B11" s="466" t="s">
        <v>191</v>
      </c>
      <c r="C11" s="467"/>
      <c r="D11" s="468"/>
      <c r="E11" s="25"/>
      <c r="F11" s="469" t="str">
        <f>VLOOKUP(H10,'Delivery Location'!A$4:N$466,2,0)</f>
        <v>甜甜                                                                         Tiong Bahru Market.                                 30 Seng Poh Road #02-15.       Singapore 168898</v>
      </c>
      <c r="G11" s="470"/>
      <c r="H11" s="471"/>
      <c r="J11" s="26" t="s">
        <v>9</v>
      </c>
      <c r="K11" s="504">
        <v>45757</v>
      </c>
      <c r="L11" s="505"/>
    </row>
    <row r="12" spans="2:12" ht="20.149999999999999" customHeight="1" x14ac:dyDescent="0.45">
      <c r="B12" s="480" t="s">
        <v>340</v>
      </c>
      <c r="C12" s="453"/>
      <c r="D12" s="481"/>
      <c r="E12" s="25"/>
      <c r="F12" s="472"/>
      <c r="G12" s="473"/>
      <c r="H12" s="474"/>
      <c r="J12" s="26" t="s">
        <v>127</v>
      </c>
      <c r="K12" s="506" t="s">
        <v>331</v>
      </c>
      <c r="L12" s="507"/>
    </row>
    <row r="13" spans="2:12" ht="20.149999999999999" customHeight="1" x14ac:dyDescent="0.45">
      <c r="B13" s="480" t="s">
        <v>1447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341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08"/>
      <c r="C15" s="509"/>
      <c r="D15" s="510"/>
      <c r="E15" s="21"/>
      <c r="F15" s="475"/>
      <c r="G15" s="476"/>
      <c r="H15" s="477"/>
      <c r="J15" s="27" t="s">
        <v>11</v>
      </c>
      <c r="K15" s="495" t="s">
        <v>1451</v>
      </c>
      <c r="L15" s="496"/>
    </row>
    <row r="16" spans="2:12" ht="19" thickBot="1" x14ac:dyDescent="0.5">
      <c r="J16" s="17"/>
      <c r="L16" s="19" t="s">
        <v>439</v>
      </c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364"/>
      <c r="C18" s="212" t="s">
        <v>804</v>
      </c>
      <c r="D18" s="493" t="str">
        <f>VLOOKUP(C18,'Sales Master'!B$3:D$537,2,)</f>
        <v>Atap Seeds in Syrup 亚嗒子</v>
      </c>
      <c r="E18" s="493"/>
      <c r="F18" s="493"/>
      <c r="G18" s="76">
        <v>2</v>
      </c>
      <c r="H18" s="85" t="str">
        <f>VLOOKUP(C18,'Sales Master'!$B$3:$F$2420,5,0)</f>
        <v>NW(2.1:0.9) 3kg/ Bag包</v>
      </c>
      <c r="I18" s="484" t="str">
        <f>VLOOKUP(C18,'Sales Master'!$B$3:$E$2488,4,0)</f>
        <v>DO!</v>
      </c>
      <c r="J18" s="484"/>
      <c r="K18" s="80">
        <f>VLOOKUP(C18,'Sales Master'!B$3:AC$537,28,0)</f>
        <v>13.5</v>
      </c>
      <c r="L18" s="64">
        <f t="shared" ref="L18" si="0">K18*G18</f>
        <v>27</v>
      </c>
      <c r="M18" s="65"/>
    </row>
    <row r="19" spans="2:13" ht="20.149999999999999" customHeight="1" x14ac:dyDescent="0.45">
      <c r="B19" s="412"/>
      <c r="C19" s="212"/>
      <c r="D19" s="493"/>
      <c r="E19" s="493"/>
      <c r="F19" s="493"/>
      <c r="G19" s="76"/>
      <c r="H19" s="85"/>
      <c r="I19" s="484"/>
      <c r="J19" s="484"/>
      <c r="K19" s="80"/>
      <c r="L19" s="64"/>
      <c r="M19" s="65"/>
    </row>
    <row r="20" spans="2:13" ht="20.149999999999999" customHeight="1" x14ac:dyDescent="0.45">
      <c r="B20" s="412"/>
      <c r="C20" s="212"/>
      <c r="D20" s="493"/>
      <c r="E20" s="493"/>
      <c r="F20" s="493"/>
      <c r="G20" s="76"/>
      <c r="H20" s="85"/>
      <c r="I20" s="484"/>
      <c r="J20" s="484"/>
      <c r="K20" s="80"/>
      <c r="L20" s="64"/>
      <c r="M20" s="65"/>
    </row>
    <row r="21" spans="2:13" ht="20.149999999999999" customHeight="1" x14ac:dyDescent="0.45">
      <c r="B21" s="364"/>
      <c r="C21" s="212"/>
      <c r="D21" s="493"/>
      <c r="E21" s="493"/>
      <c r="F21" s="493"/>
      <c r="G21" s="76"/>
      <c r="H21" s="85"/>
      <c r="I21" s="484"/>
      <c r="J21" s="484"/>
      <c r="K21" s="80"/>
      <c r="L21" s="64"/>
      <c r="M21" s="65"/>
    </row>
    <row r="22" spans="2:13" ht="20.149999999999999" customHeight="1" x14ac:dyDescent="0.45">
      <c r="B22" s="364"/>
      <c r="C22" s="212"/>
      <c r="D22" s="501"/>
      <c r="E22" s="501"/>
      <c r="F22" s="501"/>
      <c r="G22" s="76"/>
      <c r="H22" s="85"/>
      <c r="I22" s="484"/>
      <c r="J22" s="484"/>
      <c r="K22" s="80"/>
      <c r="L22" s="64"/>
      <c r="M22" s="65"/>
    </row>
    <row r="23" spans="2:13" ht="20.149999999999999" customHeight="1" x14ac:dyDescent="0.45">
      <c r="B23" s="364"/>
      <c r="C23" s="212"/>
      <c r="D23" s="493"/>
      <c r="E23" s="493"/>
      <c r="F23" s="493"/>
      <c r="G23" s="76"/>
      <c r="H23" s="85"/>
      <c r="I23" s="484"/>
      <c r="J23" s="484"/>
      <c r="K23" s="80"/>
      <c r="L23" s="64"/>
      <c r="M23" s="65"/>
    </row>
    <row r="24" spans="2:13" ht="20.149999999999999" customHeight="1" x14ac:dyDescent="0.45">
      <c r="B24" s="364"/>
      <c r="C24" s="212"/>
      <c r="D24" s="493"/>
      <c r="E24" s="493"/>
      <c r="F24" s="493"/>
      <c r="G24" s="76"/>
      <c r="H24" s="85"/>
      <c r="I24" s="484"/>
      <c r="J24" s="484"/>
      <c r="K24" s="80"/>
      <c r="L24" s="64"/>
      <c r="M24" s="65"/>
    </row>
    <row r="25" spans="2:13" ht="20.149999999999999" customHeight="1" x14ac:dyDescent="0.45">
      <c r="B25" s="364"/>
      <c r="C25" s="212"/>
      <c r="D25" s="493"/>
      <c r="E25" s="493"/>
      <c r="F25" s="493"/>
      <c r="G25" s="76"/>
      <c r="H25" s="85"/>
      <c r="I25" s="484"/>
      <c r="J25" s="484"/>
      <c r="K25" s="80"/>
      <c r="L25" s="64"/>
      <c r="M25" s="65"/>
    </row>
    <row r="26" spans="2:13" ht="20.149999999999999" customHeight="1" x14ac:dyDescent="0.45">
      <c r="B26" s="364"/>
      <c r="C26" s="212"/>
      <c r="D26" s="493"/>
      <c r="E26" s="493"/>
      <c r="F26" s="493"/>
      <c r="G26" s="76"/>
      <c r="H26" s="85"/>
      <c r="I26" s="484"/>
      <c r="J26" s="484"/>
      <c r="K26" s="80"/>
      <c r="L26" s="64"/>
      <c r="M26" s="65"/>
    </row>
    <row r="27" spans="2:13" ht="20.149999999999999" customHeight="1" x14ac:dyDescent="0.45">
      <c r="B27" s="364"/>
      <c r="C27" s="212"/>
      <c r="D27" s="147"/>
      <c r="E27" s="147"/>
      <c r="F27" s="147"/>
      <c r="G27" s="76"/>
      <c r="H27" s="85"/>
      <c r="I27" s="208"/>
      <c r="J27" s="208"/>
      <c r="K27" s="80"/>
      <c r="L27" s="64"/>
      <c r="M27" s="65"/>
    </row>
    <row r="28" spans="2:13" ht="20.149999999999999" customHeight="1" x14ac:dyDescent="0.45">
      <c r="B28" s="364"/>
      <c r="C28" s="212"/>
      <c r="D28" s="493"/>
      <c r="E28" s="493"/>
      <c r="F28" s="493"/>
      <c r="G28" s="76"/>
      <c r="H28" s="85"/>
      <c r="I28" s="484"/>
      <c r="J28" s="484"/>
      <c r="K28" s="80"/>
      <c r="L28" s="64"/>
      <c r="M28" s="65"/>
    </row>
    <row r="29" spans="2:13" ht="20.149999999999999" customHeight="1" x14ac:dyDescent="0.45">
      <c r="B29" s="364"/>
      <c r="C29" s="149" t="s">
        <v>2294</v>
      </c>
      <c r="D29" s="403"/>
      <c r="E29" s="403"/>
      <c r="F29" s="403"/>
      <c r="G29" s="76"/>
      <c r="H29" s="186"/>
      <c r="I29" s="484"/>
      <c r="J29" s="484"/>
      <c r="K29" s="190"/>
      <c r="L29" s="64"/>
      <c r="M29" s="65"/>
    </row>
    <row r="30" spans="2:13" ht="20.149999999999999" customHeight="1" x14ac:dyDescent="0.45">
      <c r="B30" s="364"/>
      <c r="C30" s="212" t="s">
        <v>712</v>
      </c>
      <c r="D30" s="511" t="str">
        <f>VLOOKUP(C30,'Sales Master'!B$3:D$537,2,)</f>
        <v>Bobo ChaCha Cubes 摩摩喳喳</v>
      </c>
      <c r="E30" s="511"/>
      <c r="F30" s="511"/>
      <c r="G30" s="76">
        <v>1</v>
      </c>
      <c r="H30" s="85" t="str">
        <f>VLOOKUP(C30,'Sales Master'!$B$3:$F$2420,5,0)</f>
        <v>800 GM/ Bag包</v>
      </c>
      <c r="I30" s="484" t="str">
        <f>VLOOKUP(C30,'Sales Master'!$B$3:$E$2488,4,0)</f>
        <v>DO!</v>
      </c>
      <c r="J30" s="484"/>
      <c r="K30" s="190">
        <v>7</v>
      </c>
      <c r="L30" s="64"/>
      <c r="M30" s="65"/>
    </row>
    <row r="31" spans="2:13" ht="20.149999999999999" customHeight="1" x14ac:dyDescent="0.45">
      <c r="B31" s="364"/>
      <c r="C31" s="212" t="s">
        <v>855</v>
      </c>
      <c r="D31" s="493" t="str">
        <f>VLOOKUP(C31,'Sales Master'!B$3:D$537,2,)</f>
        <v>Dried Longan 龙眼干</v>
      </c>
      <c r="E31" s="493"/>
      <c r="F31" s="493"/>
      <c r="G31" s="76">
        <v>1</v>
      </c>
      <c r="H31" s="85" t="str">
        <f>VLOOKUP(C31,'Sales Master'!$B$3:$F$2420,5,0)</f>
        <v>15 KG</v>
      </c>
      <c r="I31" s="484" t="str">
        <f>VLOOKUP(C31,'Sales Master'!$B$3:$E$2488,4,0)</f>
        <v>AAA</v>
      </c>
      <c r="J31" s="484"/>
      <c r="K31" s="190">
        <v>167.5</v>
      </c>
      <c r="L31" s="64"/>
      <c r="M31" s="65"/>
    </row>
    <row r="32" spans="2:13" ht="20.149999999999999" customHeight="1" x14ac:dyDescent="0.45">
      <c r="B32" s="364"/>
      <c r="C32" s="212" t="s">
        <v>867</v>
      </c>
      <c r="D32" s="493" t="str">
        <f>VLOOKUP(C32,'Sales Master'!B$3:D$537,2,)</f>
        <v>GingKo Nut 白果粒</v>
      </c>
      <c r="E32" s="493"/>
      <c r="F32" s="493"/>
      <c r="G32" s="76">
        <v>1</v>
      </c>
      <c r="H32" s="85" t="str">
        <f>VLOOKUP(C32,'Sales Master'!$B$3:$F$2420,5,0)</f>
        <v>5 kg/ Pkt包</v>
      </c>
      <c r="I32" s="484" t="str">
        <f>VLOOKUP(C32,'Sales Master'!$B$3:$E$2488,4,0)</f>
        <v>-</v>
      </c>
      <c r="J32" s="484"/>
      <c r="K32" s="190">
        <v>20</v>
      </c>
      <c r="L32" s="64"/>
      <c r="M32" s="65"/>
    </row>
    <row r="33" spans="2:14" ht="20.149999999999999" customHeight="1" x14ac:dyDescent="0.45">
      <c r="B33" s="364"/>
      <c r="C33" s="212" t="s">
        <v>936</v>
      </c>
      <c r="D33" s="493" t="str">
        <f>VLOOKUP(C33,'Sales Master'!B$3:D$537,2,)</f>
        <v>Lychee in Syrup 荔枝</v>
      </c>
      <c r="E33" s="493"/>
      <c r="F33" s="493"/>
      <c r="G33" s="76">
        <v>1</v>
      </c>
      <c r="H33" s="85" t="str">
        <f>VLOOKUP(C33,'Sales Master'!$B$3:$F$2420,5,0)</f>
        <v>12can/箱</v>
      </c>
      <c r="I33" s="484" t="str">
        <f>VLOOKUP(C33,'Sales Master'!$B$3:$E$2488,4,0)</f>
        <v>MiLi</v>
      </c>
      <c r="J33" s="484"/>
      <c r="K33" s="190">
        <v>26</v>
      </c>
      <c r="L33" s="64"/>
      <c r="M33" s="65"/>
    </row>
    <row r="34" spans="2:14" ht="20.149999999999999" customHeight="1" x14ac:dyDescent="0.45">
      <c r="B34" s="364"/>
      <c r="C34" s="212"/>
      <c r="D34" s="501"/>
      <c r="E34" s="501"/>
      <c r="F34" s="501"/>
      <c r="G34" s="76"/>
      <c r="H34" s="85"/>
      <c r="I34" s="484"/>
      <c r="J34" s="484"/>
      <c r="K34" s="80"/>
      <c r="L34" s="64"/>
      <c r="M34" s="65"/>
    </row>
    <row r="35" spans="2:14" ht="20.149999999999999" customHeight="1" thickBot="1" x14ac:dyDescent="0.5">
      <c r="B35" s="32"/>
      <c r="C35" s="33"/>
      <c r="D35" s="488"/>
      <c r="E35" s="488"/>
      <c r="F35" s="488"/>
      <c r="G35" s="33"/>
      <c r="H35" s="57"/>
      <c r="I35" s="459"/>
      <c r="J35" s="459"/>
      <c r="K35" s="34"/>
      <c r="L35" s="35"/>
    </row>
    <row r="36" spans="2:14" ht="20.149999999999999" customHeight="1" thickBot="1" x14ac:dyDescent="0.5">
      <c r="B36" s="36"/>
      <c r="L36" s="37"/>
    </row>
    <row r="37" spans="2:14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89" t="s">
        <v>13</v>
      </c>
      <c r="K37" s="490"/>
      <c r="L37" s="38">
        <f>SUM(L18:L36)</f>
        <v>27</v>
      </c>
      <c r="M37" s="63">
        <f>SUM(P18:P35)</f>
        <v>0</v>
      </c>
      <c r="N37" s="133">
        <f>M37/L37</f>
        <v>0</v>
      </c>
    </row>
    <row r="38" spans="2:14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4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91" t="s">
        <v>19</v>
      </c>
      <c r="K39" s="492"/>
      <c r="L39" s="41">
        <f>L37-L38</f>
        <v>27</v>
      </c>
    </row>
    <row r="40" spans="2:14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2.4299999999999997</v>
      </c>
    </row>
    <row r="41" spans="2:14" ht="20.149999999999999" customHeight="1" thickBot="1" x14ac:dyDescent="0.5">
      <c r="B41" s="10" t="s">
        <v>23</v>
      </c>
      <c r="C41" s="6"/>
      <c r="D41" s="6"/>
      <c r="E41" s="6"/>
      <c r="F41" s="6"/>
      <c r="G41" s="6"/>
      <c r="H41" s="6"/>
      <c r="I41" s="6"/>
      <c r="J41" s="485" t="s">
        <v>21</v>
      </c>
      <c r="K41" s="486"/>
      <c r="L41" s="43">
        <f>L39+L40</f>
        <v>29.43</v>
      </c>
    </row>
    <row r="42" spans="2:14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36"/>
      <c r="L45" s="37"/>
    </row>
    <row r="46" spans="2:14" ht="20.149999999999999" customHeight="1" x14ac:dyDescent="0.45">
      <c r="B46" s="44"/>
      <c r="C46" s="45"/>
      <c r="D46" s="45"/>
      <c r="J46" s="45"/>
      <c r="K46" s="45"/>
      <c r="L46" s="46"/>
    </row>
    <row r="47" spans="2:14" ht="20.149999999999999" customHeight="1" x14ac:dyDescent="0.45">
      <c r="B47" s="36" t="s">
        <v>25</v>
      </c>
      <c r="J47" s="19" t="s">
        <v>26</v>
      </c>
      <c r="L47" s="37"/>
    </row>
    <row r="48" spans="2:14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51">
    <mergeCell ref="I30:J30"/>
    <mergeCell ref="I28:J28"/>
    <mergeCell ref="D30:F30"/>
    <mergeCell ref="I29:J29"/>
    <mergeCell ref="D21:F21"/>
    <mergeCell ref="I21:J21"/>
    <mergeCell ref="I22:J22"/>
    <mergeCell ref="I23:J23"/>
    <mergeCell ref="D23:F23"/>
    <mergeCell ref="D28:F28"/>
    <mergeCell ref="D25:F25"/>
    <mergeCell ref="D24:F24"/>
    <mergeCell ref="D26:F26"/>
    <mergeCell ref="I25:J25"/>
    <mergeCell ref="I24:J24"/>
    <mergeCell ref="I26:J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I20:J20"/>
    <mergeCell ref="D20:F20"/>
    <mergeCell ref="J41:K41"/>
    <mergeCell ref="D35:F35"/>
    <mergeCell ref="I35:J35"/>
    <mergeCell ref="J37:K37"/>
    <mergeCell ref="J39:K39"/>
    <mergeCell ref="D22:F22"/>
    <mergeCell ref="D31:F31"/>
    <mergeCell ref="I32:J32"/>
    <mergeCell ref="D32:F32"/>
    <mergeCell ref="I34:J34"/>
    <mergeCell ref="D33:F33"/>
    <mergeCell ref="I33:J33"/>
    <mergeCell ref="D34:F34"/>
    <mergeCell ref="I31:J31"/>
  </mergeCells>
  <conditionalFormatting sqref="C29">
    <cfRule type="duplicateValues" dxfId="258" priority="1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38B0D-C3E3-40B7-B701-6C1774005F1B}">
  <sheetPr codeName="Sheet77">
    <tabColor rgb="FF7030A0"/>
    <pageSetUpPr fitToPage="1"/>
  </sheetPr>
  <dimension ref="B1:P44"/>
  <sheetViews>
    <sheetView topLeftCell="B1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505</v>
      </c>
      <c r="J10" s="24" t="s">
        <v>27</v>
      </c>
      <c r="K10" s="464">
        <v>202403094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KOUFU - Drink                                                                                               Outram Road Singapore General Hospital.  Block 6/7 Level 1 Food Court Singapore 169608</v>
      </c>
      <c r="G11" s="470"/>
      <c r="H11" s="471"/>
      <c r="J11" s="26" t="s">
        <v>9</v>
      </c>
      <c r="K11" s="478">
        <v>45355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929</v>
      </c>
      <c r="D18" s="487" t="str">
        <f>VLOOKUP(C18,'Sales Master'!B$3:D$537,2,)</f>
        <v>Aloe Vera 芦荟 10mm</v>
      </c>
      <c r="E18" s="487"/>
      <c r="F18" s="487"/>
      <c r="G18" s="17">
        <v>2</v>
      </c>
      <c r="H18" s="85" t="str">
        <f>VLOOKUP(C18,'Sales Master'!$B$3:$F$2488,5,0)</f>
        <v>1 Can X A10</v>
      </c>
      <c r="I18" s="484" t="str">
        <f>VLOOKUP(C18,'Sales Master'!$B$3:$E$2488,4,0)</f>
        <v>Chefs</v>
      </c>
      <c r="J18" s="484"/>
      <c r="K18" s="30">
        <f>VLOOKUP(C18,'Sales Master'!$B$3:$T3009,19,0)</f>
        <v>10</v>
      </c>
      <c r="L18" s="31">
        <f>K18*G18</f>
        <v>20</v>
      </c>
      <c r="N18" s="145">
        <f>VLOOKUP(C18,'Sales Master'!$B$3:$DA$2279,104,0)</f>
        <v>7</v>
      </c>
      <c r="O18" s="145">
        <f>K18-N18</f>
        <v>3</v>
      </c>
      <c r="P18" s="145">
        <f>O18*G18</f>
        <v>6</v>
      </c>
    </row>
    <row r="19" spans="2:16" ht="20.149999999999999" customHeight="1" x14ac:dyDescent="0.45">
      <c r="B19" s="29"/>
      <c r="C19" s="212"/>
      <c r="D19" s="487"/>
      <c r="E19" s="487"/>
      <c r="F19" s="487"/>
      <c r="G19" s="17"/>
      <c r="H19" s="85"/>
      <c r="I19" s="484"/>
      <c r="J19" s="484"/>
      <c r="K19" s="30"/>
      <c r="L19" s="31"/>
      <c r="N19" s="145"/>
      <c r="O19" s="145"/>
      <c r="P19" s="145"/>
    </row>
    <row r="20" spans="2:16" ht="20.149999999999999" customHeight="1" x14ac:dyDescent="0.45">
      <c r="B20" s="29"/>
      <c r="C20" s="212"/>
      <c r="D20" s="487"/>
      <c r="E20" s="487"/>
      <c r="F20" s="487"/>
      <c r="G20" s="17"/>
      <c r="H20" s="85"/>
      <c r="I20" s="484"/>
      <c r="J20" s="484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2"/>
      <c r="D21" s="487"/>
      <c r="E21" s="487"/>
      <c r="F21" s="487"/>
      <c r="G21" s="17"/>
      <c r="H21" s="85"/>
      <c r="I21" s="484"/>
      <c r="J21" s="484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2"/>
      <c r="D22" s="487"/>
      <c r="E22" s="487"/>
      <c r="F22" s="487"/>
      <c r="G22" s="17"/>
      <c r="H22" s="85"/>
      <c r="I22" s="484"/>
      <c r="J22" s="484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2"/>
      <c r="D23" s="487"/>
      <c r="E23" s="487"/>
      <c r="F23" s="487"/>
      <c r="G23" s="17"/>
      <c r="H23" s="85"/>
      <c r="I23" s="484"/>
      <c r="J23" s="484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212"/>
      <c r="D24" s="487"/>
      <c r="E24" s="487"/>
      <c r="F24" s="487"/>
      <c r="G24" s="17"/>
      <c r="H24" s="85"/>
      <c r="I24" s="484"/>
      <c r="J24" s="484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212"/>
      <c r="D25" s="487"/>
      <c r="E25" s="487"/>
      <c r="F25" s="487"/>
      <c r="G25" s="17"/>
      <c r="H25" s="85"/>
      <c r="I25" s="484"/>
      <c r="J25" s="484"/>
      <c r="K25" s="30"/>
      <c r="L25" s="31"/>
      <c r="N25" s="145"/>
      <c r="O25" s="145"/>
      <c r="P25" s="145"/>
    </row>
    <row r="26" spans="2:16" ht="20.149999999999999" customHeight="1" x14ac:dyDescent="0.45">
      <c r="B26" s="29"/>
      <c r="C26" s="212"/>
      <c r="D26" s="487"/>
      <c r="E26" s="487"/>
      <c r="F26" s="487"/>
      <c r="G26" s="17"/>
      <c r="H26" s="85"/>
      <c r="I26" s="484"/>
      <c r="J26" s="484"/>
      <c r="K26" s="30"/>
      <c r="L26" s="31"/>
      <c r="N26" s="145"/>
      <c r="O26" s="145"/>
      <c r="P26" s="145"/>
    </row>
    <row r="27" spans="2:16" ht="20.149999999999999" customHeight="1" x14ac:dyDescent="0.45">
      <c r="B27" s="29"/>
      <c r="C27" s="212"/>
      <c r="D27" s="487"/>
      <c r="E27" s="487"/>
      <c r="F27" s="487"/>
      <c r="G27" s="17"/>
      <c r="H27" s="85"/>
      <c r="I27" s="484"/>
      <c r="J27" s="484"/>
      <c r="K27" s="30"/>
      <c r="L27" s="31"/>
      <c r="N27" s="145"/>
      <c r="O27" s="145"/>
      <c r="P27" s="145"/>
    </row>
    <row r="28" spans="2:16" ht="20.149999999999999" customHeight="1" x14ac:dyDescent="0.45">
      <c r="B28" s="29"/>
      <c r="C28" s="212"/>
      <c r="D28" s="487"/>
      <c r="E28" s="487"/>
      <c r="F28" s="487"/>
      <c r="G28" s="17"/>
      <c r="H28" s="85"/>
      <c r="I28" s="484"/>
      <c r="J28" s="484"/>
      <c r="K28" s="30"/>
      <c r="L28" s="31"/>
      <c r="N28" s="145"/>
      <c r="O28" s="145"/>
      <c r="P28" s="145"/>
    </row>
    <row r="29" spans="2:16" ht="20.149999999999999" customHeight="1" x14ac:dyDescent="0.45">
      <c r="B29" s="29"/>
      <c r="C29" s="17"/>
      <c r="D29" s="487"/>
      <c r="E29" s="487"/>
      <c r="F29" s="487"/>
      <c r="G29" s="17"/>
      <c r="H29" s="17"/>
      <c r="I29" s="17"/>
      <c r="J29" s="17"/>
      <c r="K29" s="30"/>
      <c r="L29" s="31"/>
    </row>
    <row r="30" spans="2:16" ht="20.149999999999999" customHeight="1" thickBot="1" x14ac:dyDescent="0.5">
      <c r="B30" s="32"/>
      <c r="C30" s="33"/>
      <c r="D30" s="488"/>
      <c r="E30" s="488"/>
      <c r="F30" s="488"/>
      <c r="G30" s="33"/>
      <c r="H30" s="33"/>
      <c r="I30" s="33"/>
      <c r="J30" s="33"/>
      <c r="K30" s="34"/>
      <c r="L30" s="35"/>
    </row>
    <row r="31" spans="2:16" ht="20.149999999999999" customHeight="1" thickBot="1" x14ac:dyDescent="0.5">
      <c r="B31" s="36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89" t="s">
        <v>13</v>
      </c>
      <c r="K32" s="490"/>
      <c r="L32" s="38">
        <f>SUM(L17:L30)</f>
        <v>20</v>
      </c>
      <c r="M32" s="63">
        <f>SUM(P18:P28)-L32*0.02</f>
        <v>5.6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91" t="s">
        <v>19</v>
      </c>
      <c r="K34" s="492"/>
      <c r="L34" s="41">
        <f>L32-L33</f>
        <v>20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1.7999999999999998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85" t="s">
        <v>21</v>
      </c>
      <c r="K36" s="486"/>
      <c r="L36" s="43">
        <f>L34+L35</f>
        <v>21.8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2">
    <mergeCell ref="D27:F27"/>
    <mergeCell ref="I27:J27"/>
    <mergeCell ref="J36:K36"/>
    <mergeCell ref="D28:F28"/>
    <mergeCell ref="I28:J28"/>
    <mergeCell ref="D29:F29"/>
    <mergeCell ref="D30:F30"/>
    <mergeCell ref="J32:K32"/>
    <mergeCell ref="J34:K34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3F611-2264-4134-BC0F-F83D65E0EB25}">
  <sheetPr codeName="Sheet130">
    <tabColor rgb="FF7030A0"/>
    <pageSetUpPr fitToPage="1"/>
  </sheetPr>
  <dimension ref="B1:V51"/>
  <sheetViews>
    <sheetView topLeftCell="B2" workbookViewId="0">
      <selection activeCell="L41" sqref="L4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507</v>
      </c>
      <c r="J10" s="24" t="s">
        <v>27</v>
      </c>
      <c r="K10" s="464">
        <v>202302110</v>
      </c>
      <c r="L10" s="465"/>
    </row>
    <row r="11" spans="2:12" ht="20.149999999999999" customHeight="1" x14ac:dyDescent="0.45">
      <c r="B11" s="466"/>
      <c r="C11" s="467"/>
      <c r="D11" s="468"/>
      <c r="E11" s="25"/>
      <c r="F11" s="469" t="str">
        <f>VLOOKUP(H10,'Delivery Location'!A$4:N$466,2,0)</f>
        <v>Tel: 90087698                                         690 Upper changi Road East #B3-02. Upper Changi MRT Station Singapore 485990</v>
      </c>
      <c r="G11" s="470"/>
      <c r="H11" s="471"/>
      <c r="J11" s="26" t="s">
        <v>9</v>
      </c>
      <c r="K11" s="500">
        <v>44958</v>
      </c>
      <c r="L11" s="483"/>
    </row>
    <row r="12" spans="2:12" ht="20.149999999999999" customHeight="1" x14ac:dyDescent="0.45">
      <c r="B12" s="480"/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/>
      <c r="C13" s="453"/>
      <c r="D13" s="481"/>
      <c r="E13" s="25"/>
      <c r="F13" s="472"/>
      <c r="G13" s="473"/>
      <c r="H13" s="474"/>
      <c r="J13" s="26" t="s">
        <v>10</v>
      </c>
      <c r="K13" s="482" t="s">
        <v>421</v>
      </c>
      <c r="L13" s="483"/>
    </row>
    <row r="14" spans="2:12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08"/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7" t="s">
        <v>386</v>
      </c>
      <c r="I17" s="460" t="s">
        <v>385</v>
      </c>
      <c r="J17" s="462"/>
      <c r="K17" s="8" t="s">
        <v>5</v>
      </c>
      <c r="L17" s="9" t="s">
        <v>6</v>
      </c>
      <c r="M17" s="28"/>
      <c r="N17" s="28"/>
      <c r="O17" s="28"/>
    </row>
    <row r="18" spans="2:22" ht="20.149999999999999" customHeight="1" x14ac:dyDescent="0.45">
      <c r="B18" s="29"/>
      <c r="C18" s="17" t="s">
        <v>282</v>
      </c>
      <c r="D18" s="487" t="e">
        <f>VLOOKUP(C18,'Sales Master'!B$3:D$537,2,)</f>
        <v>#N/A</v>
      </c>
      <c r="E18" s="487"/>
      <c r="F18" s="487"/>
      <c r="G18" s="76">
        <v>5</v>
      </c>
      <c r="H18" s="56" t="e">
        <f>VLOOKUP(C18,'Sales Master'!$B$3:$E$537,4,0)</f>
        <v>#N/A</v>
      </c>
      <c r="I18" s="494" t="e">
        <f>VLOOKUP(C18,'Sales Master'!$B$3:F$537,5,0)</f>
        <v>#N/A</v>
      </c>
      <c r="J18" s="494"/>
      <c r="K18" s="80" t="e">
        <f>VLOOKUP(C18,'Sales Master'!B$3:BD$537,55,0)</f>
        <v>#N/A</v>
      </c>
      <c r="L18" s="64" t="e">
        <f>K18*G18</f>
        <v>#N/A</v>
      </c>
      <c r="M18" s="65"/>
      <c r="N18" s="93" t="s">
        <v>279</v>
      </c>
      <c r="O18" s="19" t="s">
        <v>216</v>
      </c>
      <c r="R18" s="19">
        <v>1</v>
      </c>
      <c r="S18" s="19" t="s">
        <v>34</v>
      </c>
      <c r="T18" s="19" t="s">
        <v>449</v>
      </c>
      <c r="V18" s="19">
        <v>30</v>
      </c>
    </row>
    <row r="19" spans="2:22" ht="20.149999999999999" customHeight="1" x14ac:dyDescent="0.45">
      <c r="B19" s="29"/>
      <c r="C19" s="17" t="s">
        <v>284</v>
      </c>
      <c r="D19" s="487" t="e">
        <f>VLOOKUP(C19,'Sales Master'!B$3:D$537,2,)</f>
        <v>#N/A</v>
      </c>
      <c r="E19" s="487"/>
      <c r="F19" s="487"/>
      <c r="G19" s="76">
        <v>5</v>
      </c>
      <c r="H19" s="56" t="e">
        <f>VLOOKUP(C19,'Sales Master'!$B$3:$E$537,4,0)</f>
        <v>#N/A</v>
      </c>
      <c r="I19" s="494" t="e">
        <f>VLOOKUP(C19,'Sales Master'!$B$3:F$537,5,0)</f>
        <v>#N/A</v>
      </c>
      <c r="J19" s="494"/>
      <c r="K19" s="80" t="e">
        <f>VLOOKUP(C19,'Sales Master'!B$3:BD$537,55,0)</f>
        <v>#N/A</v>
      </c>
      <c r="L19" s="64" t="e">
        <f>K19*G19</f>
        <v>#N/A</v>
      </c>
      <c r="M19" s="65"/>
      <c r="N19" s="93" t="s">
        <v>288</v>
      </c>
      <c r="O19" s="19" t="s">
        <v>233</v>
      </c>
      <c r="R19" s="19">
        <v>2</v>
      </c>
      <c r="S19" s="19" t="s">
        <v>196</v>
      </c>
      <c r="T19" s="19" t="s">
        <v>32</v>
      </c>
      <c r="V19" s="19">
        <v>13</v>
      </c>
    </row>
    <row r="20" spans="2:22" ht="20.149999999999999" customHeight="1" x14ac:dyDescent="0.45">
      <c r="B20" s="29"/>
      <c r="C20" s="17"/>
      <c r="D20" s="487"/>
      <c r="E20" s="487"/>
      <c r="F20" s="487"/>
      <c r="G20" s="76"/>
      <c r="H20" s="56"/>
      <c r="I20" s="494"/>
      <c r="J20" s="494"/>
      <c r="K20" s="80"/>
      <c r="L20" s="64"/>
      <c r="M20" s="65"/>
      <c r="N20" s="93" t="s">
        <v>291</v>
      </c>
      <c r="O20" s="19" t="s">
        <v>235</v>
      </c>
      <c r="R20" s="19">
        <v>1</v>
      </c>
      <c r="S20" s="19" t="s">
        <v>50</v>
      </c>
      <c r="T20" s="19" t="s">
        <v>32</v>
      </c>
      <c r="V20" s="19">
        <v>8.5</v>
      </c>
    </row>
    <row r="21" spans="2:22" ht="20.149999999999999" customHeight="1" x14ac:dyDescent="0.45">
      <c r="B21" s="29"/>
      <c r="C21" s="17"/>
      <c r="D21" s="487"/>
      <c r="E21" s="487"/>
      <c r="F21" s="487"/>
      <c r="G21" s="76"/>
      <c r="H21" s="56"/>
      <c r="I21" s="494"/>
      <c r="J21" s="494"/>
      <c r="K21" s="80"/>
      <c r="L21" s="64"/>
      <c r="M21" s="65"/>
      <c r="N21" s="93" t="s">
        <v>300</v>
      </c>
      <c r="O21" s="19" t="s">
        <v>303</v>
      </c>
      <c r="R21" s="19">
        <v>1</v>
      </c>
      <c r="S21" s="19" t="s">
        <v>200</v>
      </c>
      <c r="T21" s="19" t="s">
        <v>429</v>
      </c>
      <c r="V21" s="19">
        <v>32</v>
      </c>
    </row>
    <row r="22" spans="2:22" ht="20.149999999999999" customHeight="1" x14ac:dyDescent="0.45">
      <c r="B22" s="29"/>
      <c r="C22" s="17"/>
      <c r="D22" s="487"/>
      <c r="E22" s="487"/>
      <c r="F22" s="487"/>
      <c r="G22" s="76"/>
      <c r="H22" s="56"/>
      <c r="I22" s="494"/>
      <c r="J22" s="494"/>
      <c r="K22" s="80"/>
      <c r="L22" s="64"/>
      <c r="M22" s="65"/>
    </row>
    <row r="23" spans="2:22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80"/>
      <c r="L23" s="64"/>
      <c r="M23" s="65"/>
    </row>
    <row r="24" spans="2:22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80"/>
      <c r="L24" s="64"/>
      <c r="M24" s="65"/>
    </row>
    <row r="25" spans="2:22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80"/>
      <c r="L25" s="64"/>
      <c r="M25" s="65"/>
    </row>
    <row r="26" spans="2:22" ht="20.149999999999999" customHeight="1" x14ac:dyDescent="0.45">
      <c r="B26" s="29"/>
      <c r="C26" s="17"/>
      <c r="D26" s="487"/>
      <c r="E26" s="487"/>
      <c r="F26" s="487"/>
      <c r="G26" s="76"/>
      <c r="H26" s="56"/>
      <c r="I26" s="494"/>
      <c r="J26" s="494"/>
      <c r="K26" s="80"/>
      <c r="L26" s="64"/>
      <c r="M26" s="65"/>
    </row>
    <row r="27" spans="2:22" ht="20.149999999999999" customHeight="1" x14ac:dyDescent="0.45">
      <c r="B27" s="29"/>
      <c r="C27" s="17"/>
      <c r="D27" s="487"/>
      <c r="E27" s="487"/>
      <c r="F27" s="487"/>
      <c r="G27" s="76"/>
      <c r="H27" s="56"/>
      <c r="I27" s="494"/>
      <c r="J27" s="494"/>
      <c r="K27" s="80"/>
      <c r="L27" s="64"/>
      <c r="M27" s="65"/>
    </row>
    <row r="28" spans="2:22" ht="20.149999999999999" customHeight="1" x14ac:dyDescent="0.45">
      <c r="B28" s="29"/>
      <c r="C28" s="17"/>
      <c r="G28" s="76"/>
      <c r="H28" s="56"/>
      <c r="I28" s="494"/>
      <c r="J28" s="494"/>
      <c r="K28" s="80"/>
      <c r="L28" s="64"/>
      <c r="M28" s="65"/>
    </row>
    <row r="29" spans="2:22" ht="20.149999999999999" customHeight="1" x14ac:dyDescent="0.45">
      <c r="B29" s="29"/>
      <c r="C29" s="17"/>
      <c r="G29" s="76"/>
      <c r="H29" s="56"/>
      <c r="I29" s="494"/>
      <c r="J29" s="494"/>
      <c r="K29" s="80"/>
      <c r="L29" s="64"/>
      <c r="M29" s="65"/>
    </row>
    <row r="30" spans="2:22" ht="20.149999999999999" customHeight="1" x14ac:dyDescent="0.45">
      <c r="B30" s="29"/>
      <c r="C30" s="17"/>
      <c r="G30" s="76"/>
      <c r="H30" s="56"/>
      <c r="I30" s="494"/>
      <c r="J30" s="494"/>
      <c r="K30" s="80"/>
      <c r="L30" s="64"/>
      <c r="M30" s="65"/>
    </row>
    <row r="31" spans="2:22" ht="20.149999999999999" customHeight="1" x14ac:dyDescent="0.45">
      <c r="B31" s="29"/>
      <c r="C31" s="17"/>
      <c r="G31" s="17"/>
      <c r="H31" s="56"/>
      <c r="I31" s="494"/>
      <c r="J31" s="494"/>
      <c r="K31" s="80"/>
      <c r="L31" s="64"/>
      <c r="M31" s="65"/>
    </row>
    <row r="32" spans="2:22" ht="20.149999999999999" customHeight="1" x14ac:dyDescent="0.45">
      <c r="B32" s="29"/>
      <c r="C32" s="17"/>
      <c r="G32" s="17"/>
      <c r="H32" s="56"/>
      <c r="I32" s="494"/>
      <c r="J32" s="494"/>
      <c r="K32" s="80"/>
      <c r="L32" s="64"/>
      <c r="M32" s="65"/>
    </row>
    <row r="33" spans="2:13" ht="20.149999999999999" customHeight="1" x14ac:dyDescent="0.45">
      <c r="B33" s="29"/>
      <c r="C33" s="17"/>
      <c r="D33" s="487"/>
      <c r="E33" s="487"/>
      <c r="F33" s="487"/>
      <c r="G33" s="17"/>
      <c r="H33" s="56"/>
      <c r="I33" s="494"/>
      <c r="J33" s="494"/>
      <c r="K33" s="80"/>
      <c r="L33" s="64"/>
      <c r="M33" s="65"/>
    </row>
    <row r="34" spans="2:13" ht="20.149999999999999" customHeight="1" x14ac:dyDescent="0.45">
      <c r="B34" s="29"/>
      <c r="C34" s="17"/>
      <c r="D34" s="487"/>
      <c r="E34" s="487"/>
      <c r="F34" s="487"/>
      <c r="G34" s="17"/>
      <c r="H34" s="56"/>
      <c r="I34" s="494"/>
      <c r="J34" s="494"/>
      <c r="K34" s="80"/>
      <c r="L34" s="64"/>
      <c r="M34" s="65"/>
    </row>
    <row r="35" spans="2:13" ht="20.149999999999999" customHeight="1" x14ac:dyDescent="0.45">
      <c r="B35" s="29"/>
      <c r="C35" s="17"/>
      <c r="D35" s="487"/>
      <c r="E35" s="487"/>
      <c r="F35" s="487"/>
      <c r="G35" s="17"/>
      <c r="H35" s="56"/>
      <c r="I35" s="494"/>
      <c r="J35" s="494"/>
      <c r="K35" s="80"/>
      <c r="L35" s="64"/>
      <c r="M35" s="65"/>
    </row>
    <row r="36" spans="2:13" ht="20.149999999999999" customHeight="1" x14ac:dyDescent="0.45">
      <c r="B36" s="29"/>
      <c r="C36" s="17"/>
      <c r="D36" s="487"/>
      <c r="E36" s="487"/>
      <c r="F36" s="487"/>
      <c r="G36" s="17"/>
      <c r="H36" s="56"/>
      <c r="I36" s="494"/>
      <c r="J36" s="494"/>
      <c r="K36" s="80"/>
      <c r="L36" s="64"/>
    </row>
    <row r="37" spans="2:13" ht="20.149999999999999" customHeight="1" thickBot="1" x14ac:dyDescent="0.5">
      <c r="B37" s="32"/>
      <c r="C37" s="33"/>
      <c r="D37" s="488"/>
      <c r="E37" s="488"/>
      <c r="F37" s="488"/>
      <c r="G37" s="33"/>
      <c r="H37" s="57"/>
      <c r="I37" s="459"/>
      <c r="J37" s="459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89" t="s">
        <v>13</v>
      </c>
      <c r="K39" s="490"/>
      <c r="L39" s="38" t="e">
        <f>SUM(L17:L37)</f>
        <v>#N/A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 t="e">
        <f>L39*K40</f>
        <v>#N/A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91" t="s">
        <v>19</v>
      </c>
      <c r="K41" s="492"/>
      <c r="L41" s="41" t="e">
        <f>L39-L40</f>
        <v>#N/A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 t="e">
        <f>L41*K42</f>
        <v>#N/A</v>
      </c>
    </row>
    <row r="43" spans="2:13" ht="20.149999999999999" customHeight="1" thickBot="1" x14ac:dyDescent="0.5">
      <c r="B43" s="10" t="s">
        <v>23</v>
      </c>
      <c r="C43" s="6"/>
      <c r="D43" s="6"/>
      <c r="E43" s="6"/>
      <c r="F43" s="6"/>
      <c r="G43" s="6"/>
      <c r="H43" s="6"/>
      <c r="I43" s="6"/>
      <c r="J43" s="485" t="s">
        <v>21</v>
      </c>
      <c r="K43" s="486"/>
      <c r="L43" s="43" t="e">
        <f>L41+L42</f>
        <v>#N/A</v>
      </c>
    </row>
    <row r="44" spans="2:13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3">
    <mergeCell ref="I32:J32"/>
    <mergeCell ref="J43:K43"/>
    <mergeCell ref="D34:F34"/>
    <mergeCell ref="I34:J34"/>
    <mergeCell ref="D35:F35"/>
    <mergeCell ref="I35:J35"/>
    <mergeCell ref="D36:F36"/>
    <mergeCell ref="I36:J36"/>
    <mergeCell ref="D37:F37"/>
    <mergeCell ref="I37:J37"/>
    <mergeCell ref="J39:K39"/>
    <mergeCell ref="J41:K41"/>
    <mergeCell ref="D23:F23"/>
    <mergeCell ref="I23:J23"/>
    <mergeCell ref="D24:F24"/>
    <mergeCell ref="I24:J24"/>
    <mergeCell ref="D33:F33"/>
    <mergeCell ref="I33:J33"/>
    <mergeCell ref="D25:F25"/>
    <mergeCell ref="I25:J25"/>
    <mergeCell ref="D26:F26"/>
    <mergeCell ref="I26:J26"/>
    <mergeCell ref="D27:F27"/>
    <mergeCell ref="I27:J27"/>
    <mergeCell ref="I28:J28"/>
    <mergeCell ref="I29:J29"/>
    <mergeCell ref="I30:J30"/>
    <mergeCell ref="I31:J31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2.1653543307086598" bottom="0" header="0.31496062992126" footer="0.31496062992126"/>
  <pageSetup paperSize="9" scale="78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CDF43-26D9-4BDA-AF01-074D213A4FCE}">
  <sheetPr codeName="Sheet4">
    <tabColor rgb="FFFFC000"/>
    <pageSetUpPr fitToPage="1"/>
  </sheetPr>
  <dimension ref="B1:AO225"/>
  <sheetViews>
    <sheetView topLeftCell="A9" workbookViewId="0">
      <selection activeCell="B1" sqref="B1:L46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5.54296875" style="19" customWidth="1"/>
    <col min="7" max="7" width="8.54296875" style="19" customWidth="1"/>
    <col min="8" max="8" width="16.269531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510</v>
      </c>
      <c r="J10" s="24" t="s">
        <v>27</v>
      </c>
      <c r="K10" s="464">
        <v>202402477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Koufu - White Sands                                                 1 Pasir Ris Central St 3, #03-01/02,    Singapore 518457                         (Dessert)</v>
      </c>
      <c r="G11" s="470"/>
      <c r="H11" s="471"/>
      <c r="J11" s="26" t="s">
        <v>9</v>
      </c>
      <c r="K11" s="478">
        <v>45348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500" t="s">
        <v>34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197" t="s">
        <v>29</v>
      </c>
      <c r="I17" s="460" t="s">
        <v>53</v>
      </c>
      <c r="J17" s="462"/>
      <c r="K17" s="9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712</v>
      </c>
      <c r="D18" s="524" t="str">
        <f>VLOOKUP(C18,'Sales Master'!B$3:D$537,2,)</f>
        <v>Bobo ChaCha Cubes 摩摩喳喳</v>
      </c>
      <c r="E18" s="524"/>
      <c r="F18" s="524"/>
      <c r="G18" s="17">
        <v>4</v>
      </c>
      <c r="H18" s="186" t="str">
        <f>VLOOKUP(C18,'Sales Master'!$B$3:$F$2420,5,0)</f>
        <v>800 GM/ Bag包</v>
      </c>
      <c r="I18" s="484" t="str">
        <f>VLOOKUP(C18,'Sales Master'!$B$3:$E$2420,4,0)</f>
        <v>DO!</v>
      </c>
      <c r="J18" s="484"/>
      <c r="K18" s="30">
        <f>VLOOKUP(C18,'Sales Master'!B$3:AL$537,37,0)</f>
        <v>6</v>
      </c>
      <c r="L18" s="64">
        <f>K18*G18</f>
        <v>24</v>
      </c>
      <c r="M18" s="65"/>
      <c r="N18" s="145">
        <f>VLOOKUP(C18,'Sales Master'!$B$3:$DA$2279,104,0)</f>
        <v>0.89</v>
      </c>
      <c r="O18" s="145">
        <f>K18-N18</f>
        <v>5.1100000000000003</v>
      </c>
      <c r="P18" s="145">
        <f>O18*G18</f>
        <v>20.440000000000001</v>
      </c>
    </row>
    <row r="19" spans="2:16" ht="20.149999999999999" customHeight="1" x14ac:dyDescent="0.45">
      <c r="B19" s="29"/>
      <c r="C19" s="212"/>
      <c r="D19" s="524"/>
      <c r="E19" s="524"/>
      <c r="F19" s="524"/>
      <c r="G19" s="17"/>
      <c r="H19" s="186"/>
      <c r="I19" s="484"/>
      <c r="J19" s="484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212"/>
      <c r="D20" s="487"/>
      <c r="E20" s="487"/>
      <c r="F20" s="487"/>
      <c r="G20" s="17"/>
      <c r="H20" s="186"/>
      <c r="I20" s="484"/>
      <c r="J20" s="484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2"/>
      <c r="D21" s="487"/>
      <c r="E21" s="487"/>
      <c r="F21" s="487"/>
      <c r="G21" s="17"/>
      <c r="H21" s="186"/>
      <c r="I21" s="484"/>
      <c r="J21" s="484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87"/>
      <c r="E22" s="487"/>
      <c r="F22" s="487"/>
      <c r="G22" s="17"/>
      <c r="H22" s="186"/>
      <c r="I22" s="484"/>
      <c r="J22" s="484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D23" s="487"/>
      <c r="E23" s="487"/>
      <c r="F23" s="487"/>
      <c r="G23" s="17"/>
      <c r="H23" s="186"/>
      <c r="I23" s="484"/>
      <c r="J23" s="484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D24" s="487"/>
      <c r="E24" s="487"/>
      <c r="F24" s="487"/>
      <c r="G24" s="17"/>
      <c r="H24" s="186"/>
      <c r="I24" s="484"/>
      <c r="J24" s="484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2"/>
      <c r="D25" s="487"/>
      <c r="E25" s="487"/>
      <c r="F25" s="487"/>
      <c r="G25" s="17"/>
      <c r="H25" s="186"/>
      <c r="I25" s="484"/>
      <c r="J25" s="484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2"/>
      <c r="D26" s="487"/>
      <c r="E26" s="487"/>
      <c r="F26" s="487"/>
      <c r="G26" s="17"/>
      <c r="H26" s="186"/>
      <c r="I26" s="484"/>
      <c r="J26" s="484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2"/>
      <c r="D27" s="487"/>
      <c r="E27" s="487"/>
      <c r="F27" s="487"/>
      <c r="G27" s="17"/>
      <c r="H27" s="186"/>
      <c r="I27" s="484"/>
      <c r="J27" s="484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212"/>
      <c r="D28" s="487"/>
      <c r="E28" s="487"/>
      <c r="F28" s="487"/>
      <c r="G28" s="17"/>
      <c r="H28" s="186"/>
      <c r="I28" s="484"/>
      <c r="J28" s="484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212"/>
      <c r="G29" s="17"/>
      <c r="H29" s="186"/>
      <c r="I29" s="208"/>
      <c r="J29" s="208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212"/>
      <c r="G30" s="17"/>
      <c r="H30" s="186"/>
      <c r="I30" s="208"/>
      <c r="J30" s="208"/>
      <c r="K30" s="30"/>
      <c r="L30" s="64"/>
      <c r="M30" s="65"/>
      <c r="N30" s="145"/>
      <c r="O30" s="145"/>
      <c r="P30" s="145"/>
    </row>
    <row r="31" spans="2:16" ht="20.149999999999999" customHeight="1" x14ac:dyDescent="0.45">
      <c r="B31" s="29"/>
      <c r="C31" s="17"/>
      <c r="D31" s="487"/>
      <c r="E31" s="487"/>
      <c r="F31" s="487"/>
      <c r="G31" s="17"/>
      <c r="H31" s="186"/>
      <c r="I31" s="484"/>
      <c r="J31" s="484"/>
      <c r="K31" s="30"/>
      <c r="L31" s="64"/>
      <c r="M31" s="65"/>
      <c r="N31" s="145"/>
      <c r="O31" s="145"/>
      <c r="P31" s="145"/>
    </row>
    <row r="32" spans="2:16" ht="20.149999999999999" customHeight="1" thickBot="1" x14ac:dyDescent="0.5">
      <c r="B32" s="32"/>
      <c r="C32" s="33"/>
      <c r="D32" s="488"/>
      <c r="E32" s="488"/>
      <c r="F32" s="488"/>
      <c r="G32" s="33"/>
      <c r="H32" s="57"/>
      <c r="I32" s="459"/>
      <c r="J32" s="459"/>
      <c r="K32" s="34"/>
      <c r="L32" s="3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D34" s="6"/>
      <c r="E34" s="6"/>
      <c r="F34" s="6"/>
      <c r="G34" s="6"/>
      <c r="H34" s="6"/>
      <c r="I34" s="6"/>
      <c r="J34" s="489" t="s">
        <v>13</v>
      </c>
      <c r="K34" s="490"/>
      <c r="L34" s="38">
        <f>SUM(L17:L33)</f>
        <v>24</v>
      </c>
      <c r="M34" s="63">
        <f>SUM(P18:P31)-L34*0.02</f>
        <v>19.96</v>
      </c>
      <c r="N34" s="133">
        <f>M34/L34</f>
        <v>0.83166666666666667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91" t="s">
        <v>19</v>
      </c>
      <c r="K36" s="492"/>
      <c r="L36" s="41">
        <f>L34-L35</f>
        <v>24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2.16</v>
      </c>
    </row>
    <row r="38" spans="2:14" ht="20.149999999999999" customHeight="1" thickBot="1" x14ac:dyDescent="0.5">
      <c r="B38" s="10" t="s">
        <v>676</v>
      </c>
      <c r="C38" s="6"/>
      <c r="D38" s="6"/>
      <c r="E38" s="6"/>
      <c r="F38" s="6"/>
      <c r="G38" s="6"/>
      <c r="H38" s="6"/>
      <c r="I38" s="6"/>
      <c r="J38" s="485" t="s">
        <v>21</v>
      </c>
      <c r="K38" s="486"/>
      <c r="L38" s="43">
        <f>L36+L37</f>
        <v>26.16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144" t="s">
        <v>666</v>
      </c>
      <c r="C40" s="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C45" s="45"/>
      <c r="J45" s="19" t="s">
        <v>26</v>
      </c>
      <c r="L45" s="37"/>
    </row>
    <row r="46" spans="2:14" ht="19" thickBot="1" x14ac:dyDescent="0.5">
      <c r="B46" s="47"/>
      <c r="C46" s="128"/>
      <c r="D46" s="48"/>
      <c r="E46" s="48"/>
      <c r="F46" s="48"/>
      <c r="G46" s="48"/>
      <c r="H46" s="48"/>
      <c r="I46" s="48"/>
      <c r="J46" s="48"/>
      <c r="K46" s="48"/>
      <c r="L46" s="49"/>
    </row>
    <row r="47" spans="2:14" ht="19" thickBot="1" x14ac:dyDescent="0.5">
      <c r="C47" s="48"/>
    </row>
    <row r="225" spans="41:41" x14ac:dyDescent="0.45">
      <c r="AO225" s="19">
        <v>16</v>
      </c>
    </row>
  </sheetData>
  <mergeCells count="44">
    <mergeCell ref="J34:K34"/>
    <mergeCell ref="J36:K36"/>
    <mergeCell ref="J38:K38"/>
    <mergeCell ref="D26:F26"/>
    <mergeCell ref="I26:J26"/>
    <mergeCell ref="D31:F31"/>
    <mergeCell ref="I31:J31"/>
    <mergeCell ref="D32:F32"/>
    <mergeCell ref="I32:J32"/>
    <mergeCell ref="D24:F24"/>
    <mergeCell ref="I24:J24"/>
    <mergeCell ref="D28:F28"/>
    <mergeCell ref="I28:J28"/>
    <mergeCell ref="D27:F27"/>
    <mergeCell ref="I27:J27"/>
    <mergeCell ref="D21:F21"/>
    <mergeCell ref="D17:F17"/>
    <mergeCell ref="D22:F22"/>
    <mergeCell ref="I22:J22"/>
    <mergeCell ref="D25:F25"/>
    <mergeCell ref="I25:J25"/>
    <mergeCell ref="D20:F20"/>
    <mergeCell ref="I17:J17"/>
    <mergeCell ref="I21:J21"/>
    <mergeCell ref="D18:F18"/>
    <mergeCell ref="I18:J18"/>
    <mergeCell ref="D19:F19"/>
    <mergeCell ref="I19:J19"/>
    <mergeCell ref="I20:J20"/>
    <mergeCell ref="D23:F23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7" orientation="portrait" horizontalDpi="300" verticalDpi="300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F21A3-B5A0-47A3-8C3D-722144DA777C}">
  <sheetPr codeName="Sheet86">
    <tabColor rgb="FFFFC000"/>
    <pageSetUpPr fitToPage="1"/>
  </sheetPr>
  <dimension ref="B1:Q42"/>
  <sheetViews>
    <sheetView topLeftCell="A7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5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5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5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5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5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5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5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5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5" ht="19" thickBot="1" x14ac:dyDescent="0.5">
      <c r="B9" s="18"/>
      <c r="N9" s="212" t="s">
        <v>1309</v>
      </c>
      <c r="O9" s="19" t="s">
        <v>1868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514</v>
      </c>
      <c r="J10" s="24" t="s">
        <v>27</v>
      </c>
      <c r="K10" s="464">
        <v>202501005</v>
      </c>
      <c r="L10" s="465"/>
      <c r="N10" s="212" t="s">
        <v>2001</v>
      </c>
      <c r="O10" s="19" t="s">
        <v>2002</v>
      </c>
    </row>
    <row r="11" spans="2:15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 - Drink                                             735. Pasir Ris West Plaza.                                  Pasir Ris Street 72 #01-336.                               Singapore 510735          </v>
      </c>
      <c r="G11" s="470"/>
      <c r="H11" s="471"/>
      <c r="J11" s="26" t="s">
        <v>9</v>
      </c>
      <c r="K11" s="478">
        <v>45659</v>
      </c>
      <c r="L11" s="479"/>
      <c r="N11" s="212" t="s">
        <v>899</v>
      </c>
      <c r="O11" s="19" t="s">
        <v>900</v>
      </c>
    </row>
    <row r="12" spans="2:15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  <c r="N12" s="212" t="s">
        <v>895</v>
      </c>
      <c r="O12" s="19" t="s">
        <v>896</v>
      </c>
    </row>
    <row r="13" spans="2:15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212" t="s">
        <v>927</v>
      </c>
      <c r="O13" s="19" t="s">
        <v>1629</v>
      </c>
    </row>
    <row r="14" spans="2:15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  <c r="N14" s="212" t="s">
        <v>929</v>
      </c>
      <c r="O14" s="19" t="s">
        <v>1538</v>
      </c>
    </row>
    <row r="15" spans="2:15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5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7" ht="20.149999999999999" customHeight="1" x14ac:dyDescent="0.45">
      <c r="B18" s="29"/>
      <c r="C18" s="212" t="s">
        <v>2001</v>
      </c>
      <c r="D18" s="487" t="str">
        <f>VLOOKUP(C18,'Sales Master'!B$3:D$537,2,)</f>
        <v>Emping Belinjo 苦饼</v>
      </c>
      <c r="E18" s="487"/>
      <c r="F18" s="487"/>
      <c r="G18" s="17">
        <v>2</v>
      </c>
      <c r="H18" s="263" t="str">
        <f>VLOOKUP(C18,'Sales Master'!$B$3:$F$2420,5,0)</f>
        <v>5kg / Ctn箱</v>
      </c>
      <c r="I18" s="484" t="str">
        <f>VLOOKUP(C18,'Sales Master'!$B$3:$E$2420,4,0)</f>
        <v>-</v>
      </c>
      <c r="J18" s="484"/>
      <c r="K18" s="30">
        <f>VLOOKUP(C18,'Sales Master'!$B$3:$BH$4583,9,0)</f>
        <v>52</v>
      </c>
      <c r="L18" s="64">
        <f>K18*G18</f>
        <v>104</v>
      </c>
      <c r="N18" s="145">
        <f>VLOOKUP(C18,'Sales Master'!$B$3:$DA$2279,104,0)</f>
        <v>46</v>
      </c>
      <c r="O18" s="145">
        <f>K18-N18</f>
        <v>6</v>
      </c>
      <c r="P18" s="145">
        <f>O18*G18</f>
        <v>12</v>
      </c>
      <c r="Q18" s="170"/>
    </row>
    <row r="19" spans="2:17" ht="20.149999999999999" customHeight="1" x14ac:dyDescent="0.45">
      <c r="B19" s="29"/>
      <c r="C19" s="212"/>
      <c r="D19" s="487"/>
      <c r="E19" s="487"/>
      <c r="F19" s="487"/>
      <c r="G19" s="17"/>
      <c r="H19" s="204"/>
      <c r="I19" s="484"/>
      <c r="J19" s="484"/>
      <c r="K19" s="30"/>
      <c r="L19" s="64"/>
      <c r="N19" s="145"/>
      <c r="O19" s="145"/>
      <c r="P19" s="145"/>
      <c r="Q19" s="170"/>
    </row>
    <row r="20" spans="2:17" ht="20.149999999999999" customHeight="1" x14ac:dyDescent="0.45">
      <c r="B20" s="29"/>
      <c r="C20" s="212"/>
      <c r="D20" s="487"/>
      <c r="E20" s="487"/>
      <c r="F20" s="487"/>
      <c r="G20" s="17"/>
      <c r="H20" s="204"/>
      <c r="I20" s="484"/>
      <c r="J20" s="484"/>
      <c r="K20" s="30"/>
      <c r="L20" s="64"/>
      <c r="N20" s="145"/>
      <c r="O20" s="145"/>
      <c r="P20" s="145"/>
      <c r="Q20" s="170"/>
    </row>
    <row r="21" spans="2:17" ht="20.149999999999999" customHeight="1" x14ac:dyDescent="0.45">
      <c r="B21" s="29"/>
      <c r="C21" s="212"/>
      <c r="D21" s="487"/>
      <c r="E21" s="487"/>
      <c r="F21" s="487"/>
      <c r="G21" s="17"/>
      <c r="H21" s="204"/>
      <c r="I21" s="484"/>
      <c r="J21" s="484"/>
      <c r="K21" s="30"/>
      <c r="L21" s="64"/>
      <c r="N21" s="145"/>
      <c r="O21" s="145"/>
      <c r="P21" s="145"/>
      <c r="Q21" s="170"/>
    </row>
    <row r="22" spans="2:17" ht="20.149999999999999" customHeight="1" x14ac:dyDescent="0.45">
      <c r="B22" s="29"/>
      <c r="C22" s="212"/>
      <c r="D22" s="487"/>
      <c r="E22" s="487"/>
      <c r="F22" s="487"/>
      <c r="G22" s="17"/>
      <c r="H22" s="204"/>
      <c r="I22" s="484"/>
      <c r="J22" s="484"/>
      <c r="K22" s="30"/>
      <c r="L22" s="64"/>
      <c r="N22" s="145"/>
      <c r="O22" s="145"/>
      <c r="P22" s="145"/>
      <c r="Q22" s="170"/>
    </row>
    <row r="23" spans="2:17" ht="20.149999999999999" customHeight="1" x14ac:dyDescent="0.45">
      <c r="B23" s="29"/>
      <c r="C23" s="212"/>
      <c r="D23" s="487"/>
      <c r="E23" s="487"/>
      <c r="F23" s="487"/>
      <c r="G23" s="17"/>
      <c r="H23" s="204"/>
      <c r="I23" s="484"/>
      <c r="J23" s="484"/>
      <c r="K23" s="30"/>
      <c r="L23" s="64"/>
      <c r="N23" s="145"/>
      <c r="O23" s="145"/>
      <c r="P23" s="145"/>
      <c r="Q23" s="170"/>
    </row>
    <row r="24" spans="2:17" ht="20.149999999999999" customHeight="1" x14ac:dyDescent="0.45">
      <c r="B24" s="29"/>
      <c r="C24" s="212"/>
      <c r="D24" s="487"/>
      <c r="E24" s="487"/>
      <c r="F24" s="487"/>
      <c r="G24" s="17"/>
      <c r="H24" s="263"/>
      <c r="I24" s="484"/>
      <c r="J24" s="484"/>
      <c r="K24" s="30"/>
      <c r="L24" s="64"/>
      <c r="N24" s="145"/>
      <c r="O24" s="145"/>
      <c r="P24" s="145"/>
      <c r="Q24" s="170"/>
    </row>
    <row r="25" spans="2:17" ht="20.149999999999999" customHeight="1" x14ac:dyDescent="0.45">
      <c r="B25" s="29"/>
      <c r="C25" s="212"/>
      <c r="D25" s="487"/>
      <c r="E25" s="487"/>
      <c r="F25" s="487"/>
      <c r="G25" s="17"/>
      <c r="H25" s="263"/>
      <c r="I25" s="484"/>
      <c r="J25" s="484"/>
      <c r="K25" s="30"/>
      <c r="L25" s="64"/>
      <c r="N25" s="145"/>
      <c r="O25" s="145"/>
      <c r="P25" s="145"/>
      <c r="Q25" s="170"/>
    </row>
    <row r="26" spans="2:17" ht="20.149999999999999" customHeight="1" x14ac:dyDescent="0.45">
      <c r="B26" s="29"/>
      <c r="C26" s="212"/>
      <c r="D26" s="487"/>
      <c r="E26" s="487"/>
      <c r="F26" s="487"/>
      <c r="G26" s="17"/>
      <c r="H26" s="263"/>
      <c r="I26" s="484"/>
      <c r="J26" s="484"/>
      <c r="K26" s="30"/>
      <c r="L26" s="64"/>
      <c r="N26" s="145"/>
      <c r="O26" s="145"/>
      <c r="P26" s="145"/>
      <c r="Q26" s="170"/>
    </row>
    <row r="27" spans="2:17" ht="20.149999999999999" customHeight="1" x14ac:dyDescent="0.45">
      <c r="B27" s="29"/>
      <c r="C27" s="17"/>
      <c r="D27" s="524"/>
      <c r="E27" s="524"/>
      <c r="F27" s="524"/>
      <c r="G27" s="17"/>
      <c r="H27" s="186"/>
      <c r="I27" s="484"/>
      <c r="J27" s="484"/>
      <c r="K27" s="30"/>
      <c r="L27" s="64"/>
      <c r="N27" s="145"/>
      <c r="O27" s="145"/>
      <c r="P27" s="145"/>
      <c r="Q27" s="170"/>
    </row>
    <row r="28" spans="2:17" ht="20.149999999999999" customHeight="1" thickBot="1" x14ac:dyDescent="0.5">
      <c r="B28" s="32"/>
      <c r="C28" s="33"/>
      <c r="D28" s="488"/>
      <c r="E28" s="488"/>
      <c r="F28" s="488"/>
      <c r="G28" s="33"/>
      <c r="H28" s="33"/>
      <c r="I28" s="33"/>
      <c r="J28" s="33"/>
      <c r="K28" s="34"/>
      <c r="L28" s="35"/>
    </row>
    <row r="29" spans="2:17" ht="20.149999999999999" customHeight="1" thickBot="1" x14ac:dyDescent="0.5">
      <c r="B29" s="36"/>
      <c r="L29" s="37"/>
    </row>
    <row r="30" spans="2:17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SUM(L16:L28)</f>
        <v>104</v>
      </c>
      <c r="M30" s="63">
        <f>SUM(P18:P28)-L30*0.04</f>
        <v>7.84</v>
      </c>
      <c r="N30" s="133">
        <f>M30/L30</f>
        <v>7.5384615384615383E-2</v>
      </c>
    </row>
    <row r="31" spans="2:17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7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104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9.36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113.36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9">
    <mergeCell ref="J34:K34"/>
    <mergeCell ref="D21:F21"/>
    <mergeCell ref="I21:J21"/>
    <mergeCell ref="D25:F25"/>
    <mergeCell ref="I25:J25"/>
    <mergeCell ref="D27:F27"/>
    <mergeCell ref="I27:J27"/>
    <mergeCell ref="D28:F28"/>
    <mergeCell ref="J30:K30"/>
    <mergeCell ref="J32:K32"/>
    <mergeCell ref="D26:F26"/>
    <mergeCell ref="I26:J26"/>
    <mergeCell ref="D24:F24"/>
    <mergeCell ref="I24:J24"/>
    <mergeCell ref="D18:F18"/>
    <mergeCell ref="I18:J18"/>
    <mergeCell ref="D22:F22"/>
    <mergeCell ref="I22:J22"/>
    <mergeCell ref="D23:F23"/>
    <mergeCell ref="I23:J23"/>
    <mergeCell ref="D19:F19"/>
    <mergeCell ref="I19:J19"/>
    <mergeCell ref="D20:F20"/>
    <mergeCell ref="I20:J20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DCA07-AF9C-4AF0-A0CC-253C9CABB8FA}">
  <sheetPr codeName="Sheet3">
    <tabColor rgb="FFFFC000"/>
    <pageSetUpPr fitToPage="1"/>
  </sheetPr>
  <dimension ref="B1:P43"/>
  <sheetViews>
    <sheetView workbookViewId="0">
      <selection activeCell="K33" sqref="K33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5.54296875" style="19" customWidth="1"/>
    <col min="7" max="7" width="8.54296875" style="19" customWidth="1"/>
    <col min="8" max="8" width="16.269531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515</v>
      </c>
      <c r="J10" s="24" t="s">
        <v>27</v>
      </c>
      <c r="K10" s="464">
        <v>202311583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Koufu - White Sands                                                 1 Pasir Ris Central St 3, #03-01/02,    Singapore 518457                         (Drink)</v>
      </c>
      <c r="G11" s="470"/>
      <c r="H11" s="471"/>
      <c r="J11" s="26" t="s">
        <v>9</v>
      </c>
      <c r="K11" s="478">
        <v>45257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500" t="s">
        <v>34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197" t="s">
        <v>29</v>
      </c>
      <c r="I17" s="460" t="s">
        <v>53</v>
      </c>
      <c r="J17" s="462"/>
      <c r="K17" s="9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717</v>
      </c>
      <c r="D18" s="524" t="str">
        <f>VLOOKUP(C18,'Sales Master'!B$3:D$537,2,)</f>
        <v>Pong Thai Hai (Wet) 碰大海(湿)</v>
      </c>
      <c r="E18" s="524"/>
      <c r="F18" s="524"/>
      <c r="G18" s="17">
        <v>3</v>
      </c>
      <c r="H18" s="186" t="str">
        <f>VLOOKUP(C18,'Sales Master'!$B$3:$F$2420,5,0)</f>
        <v>1 KG/ Pkt包</v>
      </c>
      <c r="I18" s="484" t="str">
        <f>VLOOKUP(C18,'Sales Master'!$B$3:$E$2420,4,0)</f>
        <v>DO!</v>
      </c>
      <c r="J18" s="484"/>
      <c r="K18" s="30">
        <f>VLOOKUP(C18,'Sales Master'!B$3:AL$537,37,0)</f>
        <v>10</v>
      </c>
      <c r="L18" s="64">
        <f>K18*G18</f>
        <v>30</v>
      </c>
      <c r="M18" s="65"/>
      <c r="N18" s="145">
        <f>VLOOKUP(C18,'Sales Master'!$B$3:$DA$2279,104,0)</f>
        <v>0.9</v>
      </c>
      <c r="O18" s="145">
        <f>K18-N18</f>
        <v>9.1</v>
      </c>
      <c r="P18" s="145">
        <f>O18*G18</f>
        <v>27.299999999999997</v>
      </c>
    </row>
    <row r="19" spans="2:16" ht="20.149999999999999" customHeight="1" x14ac:dyDescent="0.45">
      <c r="B19" s="29"/>
      <c r="C19" s="212" t="s">
        <v>745</v>
      </c>
      <c r="D19" s="521" t="str">
        <f>VLOOKUP(C19,'Sales Master'!B$3:D$537,2,)</f>
        <v>Jelly Powder 文头雪粉 (Carrageenan)</v>
      </c>
      <c r="E19" s="521"/>
      <c r="F19" s="521"/>
      <c r="G19" s="17">
        <v>1</v>
      </c>
      <c r="H19" s="186" t="str">
        <f>VLOOKUP(C19,'Sales Master'!$B$3:$F$2420,5,0)</f>
        <v>42gm x 10PKT/Bag</v>
      </c>
      <c r="I19" s="484" t="str">
        <f>VLOOKUP(C19,'Sales Master'!$B$3:$E$2420,4,0)</f>
        <v>500/4000</v>
      </c>
      <c r="J19" s="484"/>
      <c r="K19" s="30">
        <f>VLOOKUP(C19,'Sales Master'!B$3:AL$537,37,0)</f>
        <v>28</v>
      </c>
      <c r="L19" s="64">
        <f>K19*G19</f>
        <v>28</v>
      </c>
      <c r="M19" s="65"/>
      <c r="N19" s="145">
        <f>VLOOKUP(C19,'Sales Master'!$B$3:$DA$2279,104,0)</f>
        <v>1.9530000000000003</v>
      </c>
      <c r="O19" s="145">
        <f>K19-N19</f>
        <v>26.047000000000001</v>
      </c>
      <c r="P19" s="145">
        <f>O19*G19</f>
        <v>26.047000000000001</v>
      </c>
    </row>
    <row r="20" spans="2:16" ht="20.149999999999999" customHeight="1" x14ac:dyDescent="0.45">
      <c r="B20" s="29"/>
      <c r="C20" s="212" t="s">
        <v>844</v>
      </c>
      <c r="D20" s="487" t="str">
        <f>VLOOKUP(C20,'Sales Master'!B$3:D$537,2,)</f>
        <v>White Wheat 大麦</v>
      </c>
      <c r="E20" s="487"/>
      <c r="F20" s="487"/>
      <c r="G20" s="17">
        <v>2</v>
      </c>
      <c r="H20" s="186" t="str">
        <f>VLOOKUP(C20,'Sales Master'!$B$3:$F$2420,5,0)</f>
        <v>10 PKT/ Bag</v>
      </c>
      <c r="I20" s="484" t="str">
        <f>VLOOKUP(C20,'Sales Master'!$B$3:$E$2420,4,0)</f>
        <v>-</v>
      </c>
      <c r="J20" s="484"/>
      <c r="K20" s="30">
        <f>VLOOKUP(C20,'Sales Master'!B$3:AL$537,37,0)</f>
        <v>9.5</v>
      </c>
      <c r="L20" s="64">
        <f>K20*G20</f>
        <v>19</v>
      </c>
      <c r="M20" s="65"/>
      <c r="N20" s="145">
        <f>VLOOKUP(C20,'Sales Master'!$B$3:$DA$2279,104,0)</f>
        <v>7.8</v>
      </c>
      <c r="O20" s="145">
        <f>K20-N20</f>
        <v>1.7000000000000002</v>
      </c>
      <c r="P20" s="145">
        <f>O20*G20</f>
        <v>3.4000000000000004</v>
      </c>
    </row>
    <row r="21" spans="2:16" ht="20.149999999999999" customHeight="1" x14ac:dyDescent="0.45">
      <c r="B21" s="29"/>
      <c r="C21" s="212" t="s">
        <v>966</v>
      </c>
      <c r="D21" s="487" t="str">
        <f>VLOOKUP(C21,'Sales Master'!B$3:D$537,2,)</f>
        <v>Coconut Milk 椰浆</v>
      </c>
      <c r="E21" s="487"/>
      <c r="F21" s="487"/>
      <c r="G21" s="17">
        <v>5</v>
      </c>
      <c r="H21" s="186" t="str">
        <f>VLOOKUP(C21,'Sales Master'!$B$3:$F$2420,5,0)</f>
        <v>(1L x 12bag)/箱</v>
      </c>
      <c r="I21" s="484" t="str">
        <f>VLOOKUP(C21,'Sales Master'!$B$3:$E$2420,4,0)</f>
        <v>Kara UHT</v>
      </c>
      <c r="J21" s="484"/>
      <c r="K21" s="30">
        <f>VLOOKUP(C21,'Sales Master'!B$3:AL$537,37,0)</f>
        <v>54</v>
      </c>
      <c r="L21" s="64">
        <f>K21*G21</f>
        <v>270</v>
      </c>
      <c r="M21" s="65"/>
      <c r="N21" s="145">
        <f>VLOOKUP(C21,'Sales Master'!$B$3:$DA$2279,104,0)</f>
        <v>35.799999999999997</v>
      </c>
      <c r="O21" s="145">
        <f>K21-N21</f>
        <v>18.200000000000003</v>
      </c>
      <c r="P21" s="145">
        <f>O21*G21</f>
        <v>91.000000000000014</v>
      </c>
    </row>
    <row r="22" spans="2:16" ht="20.149999999999999" customHeight="1" x14ac:dyDescent="0.45">
      <c r="B22" s="29"/>
      <c r="C22" s="212"/>
      <c r="D22" s="487"/>
      <c r="E22" s="487"/>
      <c r="F22" s="487"/>
      <c r="G22" s="17"/>
      <c r="H22" s="186"/>
      <c r="I22" s="484"/>
      <c r="J22" s="484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D23" s="487"/>
      <c r="E23" s="487"/>
      <c r="F23" s="487"/>
      <c r="G23" s="17"/>
      <c r="H23" s="186"/>
      <c r="I23" s="484"/>
      <c r="J23" s="484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D24" s="487"/>
      <c r="E24" s="487"/>
      <c r="F24" s="487"/>
      <c r="G24" s="17"/>
      <c r="H24" s="186"/>
      <c r="I24" s="484"/>
      <c r="J24" s="484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G25" s="17"/>
      <c r="H25" s="186"/>
      <c r="I25" s="208"/>
      <c r="J25" s="208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87"/>
      <c r="E26" s="487"/>
      <c r="F26" s="487"/>
      <c r="G26" s="17"/>
      <c r="H26" s="186"/>
      <c r="I26" s="484"/>
      <c r="J26" s="484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87"/>
      <c r="E27" s="487"/>
      <c r="F27" s="487"/>
      <c r="G27" s="17"/>
      <c r="H27" s="186"/>
      <c r="I27" s="484"/>
      <c r="J27" s="484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488"/>
      <c r="E28" s="488"/>
      <c r="F28" s="488"/>
      <c r="G28" s="33"/>
      <c r="H28" s="57"/>
      <c r="I28" s="459"/>
      <c r="J28" s="459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SUM(L17:L29)</f>
        <v>347</v>
      </c>
      <c r="M30" s="63">
        <f>SUM(P18:P27)-L30*0.02</f>
        <v>140.80700000000002</v>
      </c>
      <c r="N30" s="133">
        <f>M30/L30</f>
        <v>0.40578386167146979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347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31.23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378.23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666</v>
      </c>
      <c r="C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C41" s="45"/>
      <c r="J41" s="19" t="s">
        <v>26</v>
      </c>
      <c r="L41" s="37"/>
    </row>
    <row r="42" spans="2:12" ht="19" thickBot="1" x14ac:dyDescent="0.5">
      <c r="B42" s="47"/>
      <c r="C42" s="12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19" thickBot="1" x14ac:dyDescent="0.5">
      <c r="C43" s="48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0:K30"/>
    <mergeCell ref="J32:K32"/>
    <mergeCell ref="J34:K34"/>
    <mergeCell ref="D26:F26"/>
    <mergeCell ref="I26:J26"/>
    <mergeCell ref="D27:F27"/>
    <mergeCell ref="I27:J27"/>
    <mergeCell ref="D28:F28"/>
    <mergeCell ref="I28:J28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E4360-9E35-4C4C-AC45-7C27E9CBE140}">
  <sheetPr codeName="Sheet173">
    <tabColor rgb="FFFFC000"/>
    <pageSetUpPr fitToPage="1"/>
  </sheetPr>
  <dimension ref="B1:V42"/>
  <sheetViews>
    <sheetView topLeftCell="B12" zoomScaleNormal="100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516</v>
      </c>
      <c r="J10" s="24" t="s">
        <v>27</v>
      </c>
      <c r="K10" s="464">
        <v>202504235</v>
      </c>
      <c r="L10" s="465"/>
    </row>
    <row r="11" spans="2:14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 xml:space="preserve">FOOD REPUBLIC PTE LTD                                   Shaw Lido Orchard@Drink Stall                   1, Scotts Road #B1-01 Shaw Centre        Singapore 228208                                 </v>
      </c>
      <c r="G11" s="470"/>
      <c r="H11" s="471"/>
      <c r="J11" s="26" t="s">
        <v>9</v>
      </c>
      <c r="K11" s="512">
        <v>45756</v>
      </c>
      <c r="L11" s="479"/>
    </row>
    <row r="12" spans="2:14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>
        <v>4500363421</v>
      </c>
      <c r="L12" s="483"/>
    </row>
    <row r="13" spans="2:14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212" t="s">
        <v>1280</v>
      </c>
    </row>
    <row r="14" spans="2:14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>
        <v>520705</v>
      </c>
      <c r="C18" s="212" t="str">
        <f>VLOOKUP(B18,'Sales Master'!A$3:B$537,2,0)</f>
        <v>P3002</v>
      </c>
      <c r="D18" s="487" t="str">
        <f>VLOOKUP(C18,'Sales Master'!B$3:D$537,2,)</f>
        <v>Chin Chow  仙草</v>
      </c>
      <c r="E18" s="487"/>
      <c r="F18" s="487"/>
      <c r="G18" s="76">
        <v>6</v>
      </c>
      <c r="H18" s="183" t="str">
        <f>VLOOKUP(C18,'Sales Master'!$B$3:$F$2420,5,0)</f>
        <v>4 KG/ Pkt包</v>
      </c>
      <c r="I18" s="513" t="str">
        <f>VLOOKUP(C18,'Sales Master'!$B$3:$E$2420,4,0)</f>
        <v>TSM</v>
      </c>
      <c r="J18" s="513"/>
      <c r="K18" s="83">
        <f>VLOOKUP(C18,'Sales Master'!B$3:I$537,8,0)</f>
        <v>6</v>
      </c>
      <c r="L18" s="84">
        <f>K18*G18</f>
        <v>36</v>
      </c>
      <c r="N18" s="145">
        <f>VLOOKUP(C18,'Sales Master'!$B$3:$DA$2279,104,0)</f>
        <v>4</v>
      </c>
      <c r="O18" s="145">
        <f>K18-N18</f>
        <v>2</v>
      </c>
      <c r="P18" s="145">
        <f>O18*G18</f>
        <v>12</v>
      </c>
      <c r="Q18" s="170"/>
      <c r="R18" s="93">
        <v>1</v>
      </c>
      <c r="S18" s="93" t="s">
        <v>200</v>
      </c>
      <c r="T18" s="93" t="s">
        <v>429</v>
      </c>
      <c r="U18" s="93"/>
      <c r="V18" s="93">
        <v>32</v>
      </c>
    </row>
    <row r="19" spans="2:22" ht="20.149999999999999" customHeight="1" x14ac:dyDescent="0.45">
      <c r="B19" s="58"/>
      <c r="C19" s="212"/>
      <c r="D19" s="487"/>
      <c r="E19" s="487"/>
      <c r="F19" s="487"/>
      <c r="G19" s="76"/>
      <c r="H19" s="183"/>
      <c r="I19" s="513"/>
      <c r="J19" s="513"/>
      <c r="K19" s="83"/>
      <c r="L19" s="84"/>
      <c r="N19" s="145"/>
      <c r="O19" s="145"/>
      <c r="P19" s="145"/>
      <c r="Q19" s="170"/>
      <c r="R19" s="93">
        <v>1</v>
      </c>
      <c r="S19" s="93"/>
      <c r="T19" s="93"/>
      <c r="U19" s="93"/>
      <c r="V19" s="93"/>
    </row>
    <row r="20" spans="2:22" ht="20.149999999999999" customHeight="1" x14ac:dyDescent="0.45">
      <c r="B20" s="29"/>
      <c r="C20" s="212"/>
      <c r="D20" s="487"/>
      <c r="E20" s="487"/>
      <c r="F20" s="487"/>
      <c r="G20" s="76"/>
      <c r="H20" s="183"/>
      <c r="I20" s="513"/>
      <c r="J20" s="513"/>
      <c r="K20" s="575"/>
      <c r="L20" s="576"/>
      <c r="N20" s="145"/>
      <c r="O20" s="145"/>
      <c r="P20" s="145"/>
      <c r="Q20" s="170"/>
      <c r="R20" s="93"/>
    </row>
    <row r="21" spans="2:22" ht="20.149999999999999" customHeight="1" x14ac:dyDescent="0.45">
      <c r="B21" s="29"/>
      <c r="C21" s="212"/>
      <c r="G21" s="76"/>
      <c r="H21" s="183"/>
      <c r="I21" s="513"/>
      <c r="J21" s="513"/>
      <c r="K21" s="83"/>
      <c r="L21" s="84"/>
      <c r="N21" s="145"/>
      <c r="O21" s="145"/>
      <c r="P21" s="145"/>
      <c r="Q21" s="170"/>
      <c r="R21" s="93"/>
    </row>
    <row r="22" spans="2:22" ht="20.149999999999999" customHeight="1" x14ac:dyDescent="0.45">
      <c r="B22" s="29"/>
      <c r="C22" s="212"/>
      <c r="D22" s="487"/>
      <c r="E22" s="487"/>
      <c r="F22" s="487"/>
      <c r="G22" s="76"/>
      <c r="H22" s="183"/>
      <c r="I22" s="513"/>
      <c r="J22" s="513"/>
      <c r="K22" s="83"/>
      <c r="L22" s="84"/>
      <c r="N22" s="145"/>
      <c r="O22" s="145"/>
      <c r="P22" s="145"/>
      <c r="Q22" s="170"/>
      <c r="R22" s="93"/>
    </row>
    <row r="23" spans="2:22" ht="20.149999999999999" customHeight="1" x14ac:dyDescent="0.45">
      <c r="B23" s="29"/>
      <c r="C23" s="212"/>
      <c r="D23" s="487"/>
      <c r="E23" s="487"/>
      <c r="F23" s="487"/>
      <c r="G23" s="76"/>
      <c r="H23" s="183"/>
      <c r="I23" s="513"/>
      <c r="J23" s="513"/>
      <c r="K23" s="83"/>
      <c r="L23" s="84"/>
      <c r="N23" s="145"/>
      <c r="O23" s="145"/>
      <c r="P23" s="145"/>
      <c r="Q23" s="170"/>
      <c r="R23" s="93"/>
    </row>
    <row r="24" spans="2:22" ht="20.149999999999999" customHeight="1" x14ac:dyDescent="0.45">
      <c r="B24" s="29"/>
      <c r="C24" s="212"/>
      <c r="D24" s="487"/>
      <c r="E24" s="487"/>
      <c r="F24" s="487"/>
      <c r="G24" s="76"/>
      <c r="H24" s="183"/>
      <c r="I24" s="513"/>
      <c r="J24" s="513"/>
      <c r="K24" s="83"/>
      <c r="L24" s="84"/>
      <c r="N24" s="145"/>
      <c r="O24" s="145"/>
      <c r="P24" s="145"/>
      <c r="Q24" s="170"/>
      <c r="R24" s="93"/>
    </row>
    <row r="25" spans="2:22" ht="20.149999999999999" customHeight="1" x14ac:dyDescent="0.45">
      <c r="B25" s="29"/>
      <c r="C25" s="212"/>
      <c r="D25" s="487"/>
      <c r="E25" s="487"/>
      <c r="F25" s="487"/>
      <c r="G25" s="76"/>
      <c r="H25" s="183"/>
      <c r="I25" s="513"/>
      <c r="J25" s="513"/>
      <c r="K25" s="83"/>
      <c r="L25" s="84"/>
      <c r="N25" s="145"/>
      <c r="O25" s="145"/>
      <c r="P25" s="145"/>
      <c r="Q25" s="170"/>
      <c r="R25" s="93"/>
    </row>
    <row r="26" spans="2:22" ht="20.149999999999999" customHeight="1" x14ac:dyDescent="0.45">
      <c r="B26" s="29"/>
      <c r="C26" s="212"/>
      <c r="D26" s="487"/>
      <c r="E26" s="487"/>
      <c r="F26" s="487"/>
      <c r="G26" s="76"/>
      <c r="H26" s="183"/>
      <c r="I26" s="513"/>
      <c r="J26" s="513"/>
      <c r="K26" s="83"/>
      <c r="L26" s="84"/>
      <c r="N26" s="145"/>
      <c r="O26" s="145"/>
      <c r="P26" s="145"/>
      <c r="Q26" s="170"/>
      <c r="R26" s="93"/>
    </row>
    <row r="27" spans="2:22" ht="20.149999999999999" customHeight="1" x14ac:dyDescent="0.45">
      <c r="B27" s="29"/>
      <c r="C27" s="212"/>
      <c r="D27" s="487"/>
      <c r="E27" s="487"/>
      <c r="F27" s="487"/>
      <c r="G27" s="76"/>
      <c r="H27" s="183"/>
      <c r="I27" s="513"/>
      <c r="J27" s="513"/>
      <c r="K27" s="83"/>
      <c r="L27" s="84"/>
      <c r="N27" s="145"/>
      <c r="O27" s="145"/>
      <c r="P27" s="145"/>
      <c r="Q27" s="170"/>
      <c r="R27" s="93"/>
    </row>
    <row r="28" spans="2:22" ht="20.149999999999999" customHeight="1" x14ac:dyDescent="0.45">
      <c r="B28" s="104"/>
      <c r="C28" s="105"/>
      <c r="D28" s="514"/>
      <c r="E28" s="514"/>
      <c r="F28" s="514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SUM(L18:L29)</f>
        <v>36</v>
      </c>
      <c r="M30" s="63">
        <f>SUM(P18:P28)</f>
        <v>12</v>
      </c>
      <c r="N30" s="133">
        <f>M30/L30</f>
        <v>0.33333333333333331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36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3.2399999999999998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39.24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666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9">
    <mergeCell ref="J30:K30"/>
    <mergeCell ref="J32:K32"/>
    <mergeCell ref="J34:K34"/>
    <mergeCell ref="D25:F25"/>
    <mergeCell ref="I25:J25"/>
    <mergeCell ref="D26:F26"/>
    <mergeCell ref="I26:J26"/>
    <mergeCell ref="D27:F27"/>
    <mergeCell ref="I27:J27"/>
    <mergeCell ref="D23:F23"/>
    <mergeCell ref="I23:J23"/>
    <mergeCell ref="D24:F24"/>
    <mergeCell ref="I24:J24"/>
    <mergeCell ref="D28:F28"/>
    <mergeCell ref="D17:F17"/>
    <mergeCell ref="I21:J21"/>
    <mergeCell ref="D22:F22"/>
    <mergeCell ref="I22:J22"/>
    <mergeCell ref="I19:J19"/>
    <mergeCell ref="D20:F20"/>
    <mergeCell ref="I20:J20"/>
    <mergeCell ref="D18:F18"/>
    <mergeCell ref="I18:J18"/>
    <mergeCell ref="K20:L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</mergeCells>
  <conditionalFormatting sqref="C18">
    <cfRule type="duplicateValues" dxfId="175" priority="1"/>
  </conditionalFormatting>
  <conditionalFormatting sqref="C25 C19:C23">
    <cfRule type="duplicateValues" dxfId="174" priority="4"/>
  </conditionalFormatting>
  <conditionalFormatting sqref="N13">
    <cfRule type="duplicateValues" dxfId="173" priority="2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11B22-AD55-4741-A6E8-737591941B51}">
  <sheetPr codeName="Sheet99">
    <tabColor rgb="FFFFC000"/>
    <pageSetUpPr fitToPage="1"/>
  </sheetPr>
  <dimension ref="B1:P41"/>
  <sheetViews>
    <sheetView topLeftCell="A29" workbookViewId="0">
      <selection activeCell="K19" sqref="K19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" style="19" customWidth="1"/>
    <col min="9" max="9" width="1.1796875" style="67" customWidth="1"/>
    <col min="10" max="10" width="15.54296875" style="67" customWidth="1"/>
    <col min="11" max="12" width="12.54296875" style="19" customWidth="1"/>
    <col min="13" max="16384" width="12.54296875" style="19"/>
  </cols>
  <sheetData>
    <row r="1" spans="2:15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5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5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5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5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5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5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5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520</v>
      </c>
      <c r="J10" s="68" t="s">
        <v>27</v>
      </c>
      <c r="K10" s="464">
        <v>202501056</v>
      </c>
      <c r="L10" s="465"/>
    </row>
    <row r="11" spans="2:15" ht="20.149999999999999" customHeight="1" x14ac:dyDescent="0.45">
      <c r="B11" s="545"/>
      <c r="C11" s="546"/>
      <c r="D11" s="547"/>
      <c r="E11" s="25"/>
      <c r="F11" s="469" t="str">
        <f>VLOOKUP(H10,'Delivery Location'!A$4:N$466,2,0)</f>
        <v xml:space="preserve">Tel: 90294611                                   Block 417  Yishun Avenue 11. Singapore                                                       </v>
      </c>
      <c r="G11" s="470"/>
      <c r="H11" s="471"/>
      <c r="J11" s="69" t="s">
        <v>9</v>
      </c>
      <c r="K11" s="478">
        <v>45666</v>
      </c>
      <c r="L11" s="479"/>
    </row>
    <row r="12" spans="2:15" ht="20.149999999999999" customHeight="1" x14ac:dyDescent="0.45">
      <c r="B12" s="480"/>
      <c r="C12" s="453"/>
      <c r="D12" s="481"/>
      <c r="E12" s="25"/>
      <c r="F12" s="472"/>
      <c r="G12" s="473"/>
      <c r="H12" s="474"/>
      <c r="J12" s="69" t="s">
        <v>127</v>
      </c>
      <c r="K12" s="482" t="s">
        <v>331</v>
      </c>
      <c r="L12" s="483"/>
      <c r="N12" s="19" t="s">
        <v>930</v>
      </c>
      <c r="O12" s="19">
        <v>24</v>
      </c>
    </row>
    <row r="13" spans="2:15" ht="20.149999999999999" customHeight="1" x14ac:dyDescent="0.45">
      <c r="B13" s="480"/>
      <c r="C13" s="453"/>
      <c r="D13" s="481"/>
      <c r="E13" s="25"/>
      <c r="F13" s="472"/>
      <c r="G13" s="473"/>
      <c r="H13" s="474"/>
      <c r="J13" s="69" t="s">
        <v>10</v>
      </c>
      <c r="K13" s="482" t="s">
        <v>421</v>
      </c>
      <c r="L13" s="483"/>
      <c r="N13" s="19" t="s">
        <v>808</v>
      </c>
      <c r="O13" s="93">
        <v>15</v>
      </c>
    </row>
    <row r="14" spans="2:15" ht="20.149999999999999" customHeight="1" x14ac:dyDescent="0.45">
      <c r="B14" s="480"/>
      <c r="C14" s="453"/>
      <c r="D14" s="481"/>
      <c r="E14" s="25"/>
      <c r="F14" s="472"/>
      <c r="G14" s="473"/>
      <c r="H14" s="474"/>
      <c r="J14" s="69" t="s">
        <v>28</v>
      </c>
      <c r="K14" s="482" t="s">
        <v>14</v>
      </c>
      <c r="L14" s="483"/>
    </row>
    <row r="15" spans="2:15" ht="18" customHeight="1" thickBot="1" x14ac:dyDescent="0.5">
      <c r="B15" s="50"/>
      <c r="C15" s="51"/>
      <c r="D15" s="52"/>
      <c r="E15" s="21"/>
      <c r="F15" s="475"/>
      <c r="G15" s="476"/>
      <c r="H15" s="477"/>
      <c r="J15" s="70" t="s">
        <v>11</v>
      </c>
      <c r="K15" s="495"/>
      <c r="L15" s="496"/>
    </row>
    <row r="16" spans="2:15" ht="19" thickBot="1" x14ac:dyDescent="0.5">
      <c r="J16" s="71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 t="s">
        <v>2222</v>
      </c>
      <c r="D18" s="487" t="str">
        <f>VLOOKUP(C18,'Sales Master'!B$3:D$537,2,)</f>
        <v>Longan in Syrup 龙眼</v>
      </c>
      <c r="E18" s="487"/>
      <c r="F18" s="487"/>
      <c r="G18" s="76">
        <v>2</v>
      </c>
      <c r="H18" s="230" t="str">
        <f>VLOOKUP(C18,'Sales Master'!$B$3:$F$2420,5,0)</f>
        <v>(565gm x 12)/ Ctn箱</v>
      </c>
      <c r="I18" s="494" t="str">
        <f>VLOOKUP(C18,'Sales Master'!$B$3:$E$2420,4,0)</f>
        <v>GoldenBoy</v>
      </c>
      <c r="J18" s="494"/>
      <c r="K18" s="80">
        <v>25.7</v>
      </c>
      <c r="L18" s="64">
        <f>K18*G18</f>
        <v>51.4</v>
      </c>
      <c r="M18" s="65"/>
      <c r="N18" s="145">
        <f>VLOOKUP(C18,'Sales Master'!$B$3:$DA$2279,104,0)</f>
        <v>20</v>
      </c>
      <c r="O18" s="145">
        <f>K18-N18</f>
        <v>5.6999999999999993</v>
      </c>
      <c r="P18" s="145">
        <f>O18*G18</f>
        <v>11.399999999999999</v>
      </c>
    </row>
    <row r="19" spans="2:16" ht="20.149999999999999" customHeight="1" x14ac:dyDescent="0.45">
      <c r="B19" s="29"/>
      <c r="C19" s="17"/>
      <c r="D19" s="487"/>
      <c r="E19" s="487"/>
      <c r="F19" s="487"/>
      <c r="G19" s="76"/>
      <c r="H19" s="56"/>
      <c r="I19" s="527"/>
      <c r="J19" s="527"/>
      <c r="K19" s="30"/>
      <c r="L19" s="64"/>
      <c r="M19" s="65"/>
    </row>
    <row r="20" spans="2:16" ht="20.149999999999999" customHeight="1" x14ac:dyDescent="0.45">
      <c r="B20" s="29"/>
      <c r="C20" s="17"/>
      <c r="D20" s="487"/>
      <c r="E20" s="487"/>
      <c r="F20" s="487"/>
      <c r="G20" s="76"/>
      <c r="H20" s="56"/>
      <c r="I20" s="527"/>
      <c r="J20" s="527"/>
      <c r="K20" s="30"/>
      <c r="L20" s="64"/>
      <c r="M20" s="65"/>
    </row>
    <row r="21" spans="2:16" ht="20.149999999999999" customHeight="1" x14ac:dyDescent="0.45">
      <c r="B21" s="66"/>
      <c r="C21" s="17"/>
      <c r="D21" s="487"/>
      <c r="E21" s="487"/>
      <c r="F21" s="487"/>
      <c r="G21" s="76"/>
      <c r="H21" s="56"/>
      <c r="I21" s="527"/>
      <c r="J21" s="527"/>
      <c r="K21" s="30"/>
      <c r="L21" s="64"/>
      <c r="M21" s="65"/>
    </row>
    <row r="22" spans="2:16" ht="20.149999999999999" customHeight="1" x14ac:dyDescent="0.45">
      <c r="B22" s="29"/>
      <c r="C22" s="17"/>
      <c r="D22" s="487"/>
      <c r="E22" s="487"/>
      <c r="F22" s="487"/>
      <c r="G22" s="76"/>
      <c r="H22" s="56"/>
      <c r="I22" s="527"/>
      <c r="J22" s="527"/>
      <c r="K22" s="30"/>
      <c r="L22" s="64"/>
      <c r="M22" s="65"/>
    </row>
    <row r="23" spans="2:16" ht="20.149999999999999" customHeight="1" x14ac:dyDescent="0.45">
      <c r="B23" s="29"/>
      <c r="C23" s="17"/>
      <c r="D23" s="487"/>
      <c r="E23" s="487"/>
      <c r="F23" s="487"/>
      <c r="G23" s="76"/>
      <c r="H23" s="56"/>
      <c r="I23" s="527"/>
      <c r="J23" s="527"/>
      <c r="K23" s="30"/>
      <c r="L23" s="64"/>
      <c r="M23" s="65"/>
    </row>
    <row r="24" spans="2:16" ht="20.149999999999999" customHeight="1" x14ac:dyDescent="0.45">
      <c r="B24" s="29"/>
      <c r="C24" s="17"/>
      <c r="D24" s="487"/>
      <c r="E24" s="487"/>
      <c r="F24" s="487"/>
      <c r="G24" s="76"/>
      <c r="H24" s="56"/>
      <c r="I24" s="527"/>
      <c r="J24" s="527"/>
      <c r="K24" s="30"/>
      <c r="L24" s="64"/>
      <c r="M24" s="65"/>
    </row>
    <row r="25" spans="2:16" ht="20.149999999999999" customHeight="1" x14ac:dyDescent="0.45">
      <c r="B25" s="29"/>
      <c r="C25" s="17"/>
      <c r="D25" s="487"/>
      <c r="E25" s="487"/>
      <c r="F25" s="487"/>
      <c r="G25" s="76"/>
      <c r="H25" s="56"/>
      <c r="I25" s="527"/>
      <c r="J25" s="527"/>
      <c r="K25" s="30"/>
      <c r="L25" s="64"/>
      <c r="M25" s="65"/>
    </row>
    <row r="26" spans="2:16" ht="20.149999999999999" customHeight="1" x14ac:dyDescent="0.45">
      <c r="B26" s="29"/>
      <c r="C26" s="17"/>
      <c r="D26" s="487"/>
      <c r="E26" s="487"/>
      <c r="F26" s="487"/>
      <c r="G26" s="76"/>
      <c r="H26" s="56"/>
      <c r="I26" s="527"/>
      <c r="J26" s="527"/>
      <c r="K26" s="30"/>
      <c r="L26" s="64"/>
      <c r="M26" s="65"/>
    </row>
    <row r="27" spans="2:16" ht="20.149999999999999" customHeight="1" thickBot="1" x14ac:dyDescent="0.5">
      <c r="B27" s="32"/>
      <c r="C27" s="33"/>
      <c r="D27" s="488"/>
      <c r="E27" s="488"/>
      <c r="F27" s="488"/>
      <c r="G27" s="33"/>
      <c r="H27" s="57"/>
      <c r="I27" s="528"/>
      <c r="J27" s="528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72"/>
      <c r="J29" s="489" t="s">
        <v>13</v>
      </c>
      <c r="K29" s="490"/>
      <c r="L29" s="38">
        <f>SUM(L17:L27)</f>
        <v>51.4</v>
      </c>
      <c r="M29" s="63">
        <f>SUM(P18)</f>
        <v>11.399999999999999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72"/>
      <c r="J30" s="39" t="s">
        <v>20</v>
      </c>
      <c r="K30" s="40"/>
      <c r="L30" s="41"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72"/>
      <c r="J31" s="491" t="s">
        <v>19</v>
      </c>
      <c r="K31" s="492"/>
      <c r="L31" s="41">
        <f>L29-L30</f>
        <v>51.4</v>
      </c>
      <c r="O31" s="63"/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72"/>
      <c r="J32" s="102" t="s">
        <v>15</v>
      </c>
      <c r="K32" s="103">
        <f>'Sales Master'!$B$1</f>
        <v>0.09</v>
      </c>
      <c r="L32" s="42">
        <f>L31*K32</f>
        <v>4.6259999999999994</v>
      </c>
    </row>
    <row r="33" spans="2:12" ht="20.149999999999999" customHeight="1" thickBot="1" x14ac:dyDescent="0.5">
      <c r="B33" s="10" t="s">
        <v>676</v>
      </c>
      <c r="C33" s="6"/>
      <c r="D33" s="6"/>
      <c r="E33" s="6"/>
      <c r="F33" s="6"/>
      <c r="G33" s="6"/>
      <c r="H33" s="6"/>
      <c r="I33" s="72"/>
      <c r="J33" s="485" t="s">
        <v>21</v>
      </c>
      <c r="K33" s="486"/>
      <c r="L33" s="43">
        <f>L31+L32</f>
        <v>56.025999999999996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72"/>
      <c r="L34" s="37"/>
    </row>
    <row r="35" spans="2:12" ht="20.149999999999999" customHeight="1" x14ac:dyDescent="0.45">
      <c r="B35" s="144" t="s">
        <v>666</v>
      </c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73"/>
      <c r="K39" s="45"/>
      <c r="L39" s="46"/>
    </row>
    <row r="40" spans="2:12" ht="20.149999999999999" customHeight="1" x14ac:dyDescent="0.45">
      <c r="B40" s="36" t="s">
        <v>25</v>
      </c>
      <c r="J40" s="67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74"/>
      <c r="J41" s="74"/>
      <c r="K41" s="48"/>
      <c r="L41" s="49"/>
    </row>
  </sheetData>
  <mergeCells count="37">
    <mergeCell ref="D18:F18"/>
    <mergeCell ref="I18:J1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3:F23"/>
    <mergeCell ref="I23:J23"/>
    <mergeCell ref="D19:F19"/>
    <mergeCell ref="I19:J19"/>
    <mergeCell ref="D20:F20"/>
    <mergeCell ref="I20:J20"/>
    <mergeCell ref="B1:L8"/>
    <mergeCell ref="J31:K31"/>
    <mergeCell ref="J33:K33"/>
    <mergeCell ref="D27:F27"/>
    <mergeCell ref="I27:J27"/>
    <mergeCell ref="J29:K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073A9-7BC0-42CB-B5F4-37FCE4BFCC17}">
  <sheetPr codeName="Sheet133">
    <tabColor rgb="FFFFC000"/>
    <pageSetUpPr fitToPage="1"/>
  </sheetPr>
  <dimension ref="B1:V42"/>
  <sheetViews>
    <sheetView topLeftCell="A8" zoomScale="98" zoomScaleNormal="98" workbookViewId="0">
      <selection activeCell="K33" sqref="K3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532</v>
      </c>
      <c r="J10" s="24" t="s">
        <v>27</v>
      </c>
      <c r="K10" s="464">
        <v>202306064</v>
      </c>
      <c r="L10" s="465"/>
    </row>
    <row r="11" spans="2:14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 xml:space="preserve">FOOD REPUBLIC PTE LTD                                 Tai Seng Street,   #01-06/07/08      Breadtalk IHQ, Singapore 534013                             </v>
      </c>
      <c r="G11" s="470"/>
      <c r="H11" s="471"/>
      <c r="J11" s="26" t="s">
        <v>9</v>
      </c>
      <c r="K11" s="512">
        <v>45080</v>
      </c>
      <c r="L11" s="479"/>
    </row>
    <row r="12" spans="2:14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4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212" t="s">
        <v>1280</v>
      </c>
    </row>
    <row r="14" spans="2:14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/>
      <c r="C18" s="212" t="s">
        <v>704</v>
      </c>
      <c r="D18" s="487" t="str">
        <f>VLOOKUP(C18,'Sales Master'!B$3:D$537,2,)</f>
        <v>Strawberry Puree 草莓</v>
      </c>
      <c r="E18" s="487"/>
      <c r="F18" s="487"/>
      <c r="G18" s="76">
        <v>5</v>
      </c>
      <c r="H18" s="183" t="str">
        <f>VLOOKUP(C18,'Sales Master'!$B$3:$F$2420,5,0)</f>
        <v>1 KG/ Box盒</v>
      </c>
      <c r="I18" s="513" t="str">
        <f>VLOOKUP(C18,'Sales Master'!$B$3:$E$2420,4,0)</f>
        <v>DO!</v>
      </c>
      <c r="J18" s="513"/>
      <c r="K18" s="83">
        <f>VLOOKUP(C18,'Sales Master'!B$3:I$537,8,0)</f>
        <v>8</v>
      </c>
      <c r="L18" s="84">
        <f>K18*G18</f>
        <v>40</v>
      </c>
      <c r="N18" s="145">
        <f>VLOOKUP(C18,'Sales Master'!$B$3:$DA$2279,104,0)</f>
        <v>4.68</v>
      </c>
      <c r="O18" s="145">
        <f>K18-N18</f>
        <v>3.3200000000000003</v>
      </c>
      <c r="P18" s="145">
        <f>O18*G18</f>
        <v>16.600000000000001</v>
      </c>
      <c r="Q18" s="170"/>
      <c r="R18" s="93">
        <v>1</v>
      </c>
      <c r="S18" s="93" t="s">
        <v>200</v>
      </c>
      <c r="T18" s="93" t="s">
        <v>429</v>
      </c>
      <c r="U18" s="93"/>
      <c r="V18" s="93">
        <v>32</v>
      </c>
    </row>
    <row r="19" spans="2:22" ht="20.149999999999999" customHeight="1" x14ac:dyDescent="0.45">
      <c r="B19" s="58"/>
      <c r="C19" s="212"/>
      <c r="D19" s="487"/>
      <c r="E19" s="487"/>
      <c r="F19" s="487"/>
      <c r="G19" s="76"/>
      <c r="H19" s="183"/>
      <c r="I19" s="513"/>
      <c r="J19" s="513"/>
      <c r="K19" s="83"/>
      <c r="L19" s="84"/>
      <c r="N19" s="145"/>
      <c r="O19" s="145"/>
      <c r="P19" s="145"/>
      <c r="Q19" s="170"/>
      <c r="R19" s="93">
        <v>1</v>
      </c>
      <c r="S19" s="93"/>
      <c r="T19" s="93"/>
      <c r="U19" s="93"/>
      <c r="V19" s="93"/>
    </row>
    <row r="20" spans="2:22" ht="20.149999999999999" customHeight="1" x14ac:dyDescent="0.45">
      <c r="B20" s="29"/>
      <c r="C20" s="212"/>
      <c r="D20" s="487"/>
      <c r="E20" s="487"/>
      <c r="F20" s="487"/>
      <c r="G20" s="76"/>
      <c r="H20" s="183"/>
      <c r="I20" s="513"/>
      <c r="J20" s="513"/>
      <c r="K20" s="83"/>
      <c r="L20" s="84"/>
      <c r="N20" s="145"/>
      <c r="O20" s="145"/>
      <c r="P20" s="145"/>
      <c r="Q20" s="170"/>
      <c r="R20" s="93"/>
    </row>
    <row r="21" spans="2:22" ht="20.149999999999999" customHeight="1" x14ac:dyDescent="0.45">
      <c r="B21" s="29"/>
      <c r="C21" s="212"/>
      <c r="D21" s="487"/>
      <c r="E21" s="487"/>
      <c r="F21" s="487"/>
      <c r="G21" s="76"/>
      <c r="H21" s="183"/>
      <c r="I21" s="513"/>
      <c r="J21" s="513"/>
      <c r="K21" s="83"/>
      <c r="L21" s="84"/>
      <c r="N21" s="145"/>
      <c r="O21" s="145"/>
      <c r="P21" s="145"/>
      <c r="Q21" s="170"/>
      <c r="R21" s="93"/>
    </row>
    <row r="22" spans="2:22" ht="20.149999999999999" customHeight="1" x14ac:dyDescent="0.45">
      <c r="B22" s="29"/>
      <c r="C22" s="212"/>
      <c r="D22" s="487"/>
      <c r="E22" s="487"/>
      <c r="F22" s="487"/>
      <c r="G22" s="76"/>
      <c r="H22" s="183"/>
      <c r="I22" s="513"/>
      <c r="J22" s="513"/>
      <c r="K22" s="83"/>
      <c r="L22" s="84"/>
      <c r="N22" s="145"/>
      <c r="O22" s="145"/>
      <c r="P22" s="145"/>
      <c r="Q22" s="170"/>
      <c r="R22" s="93"/>
    </row>
    <row r="23" spans="2:22" ht="20.149999999999999" customHeight="1" x14ac:dyDescent="0.45">
      <c r="B23" s="29"/>
      <c r="C23" s="212"/>
      <c r="D23" s="487"/>
      <c r="E23" s="487"/>
      <c r="F23" s="487"/>
      <c r="G23" s="76"/>
      <c r="H23" s="183"/>
      <c r="I23" s="513"/>
      <c r="J23" s="513"/>
      <c r="K23" s="83"/>
      <c r="L23" s="84"/>
      <c r="N23" s="145"/>
      <c r="O23" s="145"/>
      <c r="P23" s="145"/>
      <c r="Q23" s="170"/>
      <c r="R23" s="93"/>
    </row>
    <row r="24" spans="2:22" ht="20.149999999999999" customHeight="1" x14ac:dyDescent="0.45">
      <c r="B24" s="29"/>
      <c r="C24" s="212"/>
      <c r="D24" s="487"/>
      <c r="E24" s="487"/>
      <c r="F24" s="487"/>
      <c r="G24" s="76"/>
      <c r="H24" s="183"/>
      <c r="I24" s="513"/>
      <c r="J24" s="513"/>
      <c r="K24" s="83"/>
      <c r="L24" s="84"/>
      <c r="N24" s="145"/>
      <c r="O24" s="145"/>
      <c r="P24" s="145"/>
      <c r="Q24" s="170"/>
      <c r="R24" s="93"/>
    </row>
    <row r="25" spans="2:22" ht="20.149999999999999" customHeight="1" x14ac:dyDescent="0.45">
      <c r="B25" s="29"/>
      <c r="C25" s="212"/>
      <c r="D25" s="487"/>
      <c r="E25" s="487"/>
      <c r="F25" s="487"/>
      <c r="G25" s="76"/>
      <c r="H25" s="183"/>
      <c r="I25" s="513"/>
      <c r="J25" s="513"/>
      <c r="K25" s="83"/>
      <c r="L25" s="84"/>
      <c r="N25" s="145"/>
      <c r="O25" s="145"/>
      <c r="P25" s="145"/>
      <c r="Q25" s="170"/>
      <c r="R25" s="93"/>
    </row>
    <row r="26" spans="2:22" ht="20.149999999999999" customHeight="1" x14ac:dyDescent="0.45">
      <c r="B26" s="29"/>
      <c r="C26" s="212"/>
      <c r="D26" s="487"/>
      <c r="E26" s="487"/>
      <c r="F26" s="487"/>
      <c r="G26" s="76"/>
      <c r="H26" s="183"/>
      <c r="I26" s="513"/>
      <c r="J26" s="513"/>
      <c r="K26" s="83"/>
      <c r="L26" s="84"/>
      <c r="N26" s="145"/>
      <c r="O26" s="145"/>
      <c r="P26" s="145"/>
      <c r="Q26" s="170"/>
      <c r="R26" s="93"/>
    </row>
    <row r="27" spans="2:22" ht="20.149999999999999" customHeight="1" x14ac:dyDescent="0.45">
      <c r="B27" s="29"/>
      <c r="C27" s="212"/>
      <c r="D27" s="487"/>
      <c r="E27" s="487"/>
      <c r="F27" s="487"/>
      <c r="G27" s="76"/>
      <c r="H27" s="183"/>
      <c r="I27" s="513"/>
      <c r="J27" s="513"/>
      <c r="K27" s="83"/>
      <c r="L27" s="84"/>
      <c r="N27" s="145"/>
      <c r="O27" s="145"/>
      <c r="P27" s="145"/>
      <c r="Q27" s="170"/>
      <c r="R27" s="93"/>
    </row>
    <row r="28" spans="2:22" ht="20.149999999999999" customHeight="1" x14ac:dyDescent="0.45">
      <c r="B28" s="104"/>
      <c r="C28" s="105"/>
      <c r="D28" s="514"/>
      <c r="E28" s="514"/>
      <c r="F28" s="514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SUM(L18:L29)</f>
        <v>40</v>
      </c>
      <c r="M30" s="63">
        <f>SUM(P18:P28)</f>
        <v>16.600000000000001</v>
      </c>
      <c r="N30" s="133">
        <f>M30/L30</f>
        <v>0.41500000000000004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40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3.5999999999999996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43.6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666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9">
    <mergeCell ref="J34:K34"/>
    <mergeCell ref="D25:F25"/>
    <mergeCell ref="I25:J25"/>
    <mergeCell ref="D26:F26"/>
    <mergeCell ref="I26:J26"/>
    <mergeCell ref="D27:F27"/>
    <mergeCell ref="I27:J27"/>
    <mergeCell ref="D24:F24"/>
    <mergeCell ref="I24:J24"/>
    <mergeCell ref="D28:F28"/>
    <mergeCell ref="J30:K30"/>
    <mergeCell ref="J32:K32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72" priority="2"/>
  </conditionalFormatting>
  <conditionalFormatting sqref="C25 C19:C23">
    <cfRule type="duplicateValues" dxfId="171" priority="3"/>
  </conditionalFormatting>
  <conditionalFormatting sqref="N13">
    <cfRule type="duplicateValues" dxfId="170" priority="1"/>
  </conditionalFormatting>
  <pageMargins left="0.70866141732283472" right="0.31496062992125984" top="0.23622047244094491" bottom="0.23622047244094491" header="0.31496062992125984" footer="0.31496062992125984"/>
  <pageSetup paperSize="9" scale="76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6A854-8268-4075-B40A-7388B760C134}">
  <sheetPr codeName="Sheet128">
    <tabColor rgb="FFFFC000"/>
    <pageSetUpPr fitToPage="1"/>
  </sheetPr>
  <dimension ref="B1:P1048574"/>
  <sheetViews>
    <sheetView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1522</v>
      </c>
      <c r="J10" s="24" t="s">
        <v>27</v>
      </c>
      <c r="K10" s="464">
        <v>202504193</v>
      </c>
      <c r="L10" s="465"/>
    </row>
    <row r="11" spans="2:12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 xml:space="preserve">FOOD REPUBLIC PTE LTD                                   Suntec City@Drink stall                                         3, Temasek Boulevard #B1-115             Suntec City Mall Singapore 038983                          </v>
      </c>
      <c r="G11" s="470"/>
      <c r="H11" s="471"/>
      <c r="J11" s="26" t="s">
        <v>9</v>
      </c>
      <c r="K11" s="478">
        <v>45755</v>
      </c>
      <c r="L11" s="479"/>
    </row>
    <row r="12" spans="2:12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>
        <v>4500362638</v>
      </c>
      <c r="L12" s="483"/>
    </row>
    <row r="13" spans="2:12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58">
        <v>520705</v>
      </c>
      <c r="C18" s="212" t="str">
        <f>VLOOKUP(B18,'Sales Master'!A$3:B$537,2,0)</f>
        <v>P3002</v>
      </c>
      <c r="D18" s="487" t="str">
        <f>VLOOKUP(C18,'Sales Master'!B$3:D$537,2,)</f>
        <v>Chin Chow  仙草</v>
      </c>
      <c r="E18" s="487"/>
      <c r="F18" s="487"/>
      <c r="G18" s="76">
        <v>4</v>
      </c>
      <c r="H18" s="183" t="str">
        <f>VLOOKUP(C18,'Sales Master'!$B$3:$F$2420,5,0)</f>
        <v>4 KG/ Pkt包</v>
      </c>
      <c r="I18" s="513" t="str">
        <f>VLOOKUP(C18,'Sales Master'!$B$3:$E$2420,4,0)</f>
        <v>TSM</v>
      </c>
      <c r="J18" s="513"/>
      <c r="K18" s="83">
        <f>VLOOKUP(C18,'Sales Master'!B$3:I$537,8,0)</f>
        <v>6</v>
      </c>
      <c r="L18" s="84">
        <f>K18*G18</f>
        <v>24</v>
      </c>
      <c r="N18" s="145">
        <f>VLOOKUP(C18,'Sales Master'!$B$3:$DA$2279,104,0)</f>
        <v>4</v>
      </c>
      <c r="O18" s="145">
        <f>K18-N18</f>
        <v>2</v>
      </c>
      <c r="P18" s="145">
        <f>O18*G18</f>
        <v>8</v>
      </c>
    </row>
    <row r="19" spans="2:16" ht="20.149999999999999" customHeight="1" x14ac:dyDescent="0.45">
      <c r="B19" s="58">
        <v>520732</v>
      </c>
      <c r="C19" s="212" t="str">
        <f>VLOOKUP(B19,'Sales Master'!A$3:B$537,2,0)</f>
        <v>P3016A</v>
      </c>
      <c r="D19" s="487" t="str">
        <f>VLOOKUP(C19,'Sales Master'!B$3:D$537,2,)</f>
        <v>Pearl Barley 薏米</v>
      </c>
      <c r="E19" s="487"/>
      <c r="F19" s="487"/>
      <c r="G19" s="76">
        <v>2</v>
      </c>
      <c r="H19" s="183" t="str">
        <f>VLOOKUP(C19,'Sales Master'!$B$3:$F$2420,5,0)</f>
        <v>5 KG</v>
      </c>
      <c r="I19" s="513" t="str">
        <f>VLOOKUP(C19,'Sales Master'!$B$3:$E$2420,4,0)</f>
        <v>-</v>
      </c>
      <c r="J19" s="513"/>
      <c r="K19" s="83">
        <f>VLOOKUP(C19,'Sales Master'!B$3:I$537,8,0)</f>
        <v>10</v>
      </c>
      <c r="L19" s="84">
        <f>K19*G19</f>
        <v>20</v>
      </c>
      <c r="N19" s="145">
        <f>VLOOKUP(C19,'Sales Master'!$B$3:$DA$2279,104,0)</f>
        <v>7.6</v>
      </c>
      <c r="O19" s="145">
        <f>K19-N19</f>
        <v>2.4000000000000004</v>
      </c>
      <c r="P19" s="145">
        <f>O19*G19</f>
        <v>4.8000000000000007</v>
      </c>
    </row>
    <row r="20" spans="2:16" ht="20.149999999999999" customHeight="1" x14ac:dyDescent="0.45">
      <c r="B20" s="29"/>
      <c r="C20" s="17"/>
      <c r="D20" s="487"/>
      <c r="E20" s="487"/>
      <c r="F20" s="487"/>
      <c r="G20" s="76"/>
      <c r="H20" s="56"/>
      <c r="I20" s="494"/>
      <c r="J20" s="494"/>
      <c r="K20" s="30"/>
      <c r="L20" s="31"/>
    </row>
    <row r="21" spans="2:16" ht="20.149999999999999" customHeight="1" x14ac:dyDescent="0.45">
      <c r="B21" s="29"/>
      <c r="C21" s="17"/>
      <c r="D21" s="487"/>
      <c r="E21" s="487"/>
      <c r="F21" s="487"/>
      <c r="G21" s="76"/>
      <c r="H21" s="56"/>
      <c r="I21" s="494"/>
      <c r="J21" s="494"/>
      <c r="K21" s="30"/>
      <c r="L21" s="31"/>
    </row>
    <row r="22" spans="2:16" ht="20.149999999999999" customHeight="1" x14ac:dyDescent="0.45">
      <c r="B22" s="29"/>
      <c r="C22" s="17"/>
      <c r="D22" s="487"/>
      <c r="E22" s="487"/>
      <c r="F22" s="487"/>
      <c r="G22" s="76"/>
      <c r="H22" s="56"/>
      <c r="I22" s="494"/>
      <c r="J22" s="494"/>
      <c r="K22" s="30"/>
      <c r="L22" s="31"/>
    </row>
    <row r="23" spans="2:16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31"/>
    </row>
    <row r="24" spans="2:16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31"/>
    </row>
    <row r="25" spans="2:16" ht="20.149999999999999" customHeight="1" x14ac:dyDescent="0.45">
      <c r="B25" s="29"/>
      <c r="C25" s="17"/>
      <c r="G25" s="76"/>
      <c r="H25" s="56"/>
      <c r="I25" s="56"/>
      <c r="J25" s="56"/>
      <c r="K25" s="30"/>
      <c r="L25" s="31"/>
    </row>
    <row r="26" spans="2:16" ht="20.149999999999999" customHeight="1" x14ac:dyDescent="0.45">
      <c r="B26" s="104"/>
      <c r="C26" s="105"/>
      <c r="D26" s="514"/>
      <c r="E26" s="514"/>
      <c r="F26" s="514"/>
      <c r="G26" s="105"/>
      <c r="H26" s="105"/>
      <c r="I26" s="124"/>
      <c r="J26" s="124"/>
      <c r="K26" s="108"/>
      <c r="L26" s="125"/>
    </row>
    <row r="27" spans="2:16" ht="20.149999999999999" customHeight="1" thickBot="1" x14ac:dyDescent="0.5">
      <c r="B27" s="36"/>
      <c r="L27" s="37"/>
    </row>
    <row r="28" spans="2:16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89" t="s">
        <v>13</v>
      </c>
      <c r="K28" s="490"/>
      <c r="L28" s="38">
        <f>SUM(L18:L27)</f>
        <v>44</v>
      </c>
      <c r="M28" s="63">
        <f>SUM(P18:P26)</f>
        <v>12.8</v>
      </c>
      <c r="N28" s="133">
        <f>M28/L28</f>
        <v>0.29090909090909095</v>
      </c>
    </row>
    <row r="29" spans="2:16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6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91" t="s">
        <v>19</v>
      </c>
      <c r="K30" s="492"/>
      <c r="L30" s="41">
        <f>L28-L29</f>
        <v>44</v>
      </c>
    </row>
    <row r="31" spans="2:16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3.96</v>
      </c>
    </row>
    <row r="32" spans="2:16" ht="20.149999999999999" customHeight="1" thickBot="1" x14ac:dyDescent="0.5">
      <c r="B32" s="10" t="s">
        <v>676</v>
      </c>
      <c r="C32" s="6"/>
      <c r="D32" s="6"/>
      <c r="E32" s="6"/>
      <c r="F32" s="6"/>
      <c r="G32" s="6"/>
      <c r="H32" s="6"/>
      <c r="I32" s="6"/>
      <c r="J32" s="485" t="s">
        <v>21</v>
      </c>
      <c r="K32" s="486"/>
      <c r="L32" s="43">
        <f>L30+L31</f>
        <v>47.96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144" t="s">
        <v>666</v>
      </c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  <row r="1048574" spans="8:16" x14ac:dyDescent="0.45">
      <c r="H1048574" s="183"/>
      <c r="I1048574" s="513"/>
      <c r="J1048574" s="513"/>
      <c r="K1048574" s="83"/>
      <c r="L1048574" s="84"/>
      <c r="N1048574" s="145"/>
      <c r="O1048574" s="145"/>
      <c r="P1048574" s="145"/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8:F18"/>
    <mergeCell ref="I18:J18"/>
    <mergeCell ref="D17:F17"/>
    <mergeCell ref="D19:F19"/>
    <mergeCell ref="I19:J19"/>
    <mergeCell ref="D20:F20"/>
    <mergeCell ref="I20:J20"/>
    <mergeCell ref="D21:F21"/>
    <mergeCell ref="I21:J21"/>
    <mergeCell ref="D22:F22"/>
    <mergeCell ref="I22:J22"/>
    <mergeCell ref="J30:K30"/>
    <mergeCell ref="J32:K32"/>
    <mergeCell ref="I1048574:J1048574"/>
    <mergeCell ref="D23:F23"/>
    <mergeCell ref="I23:J23"/>
    <mergeCell ref="D24:F24"/>
    <mergeCell ref="I24:J24"/>
    <mergeCell ref="D26:F26"/>
    <mergeCell ref="J28:K28"/>
  </mergeCells>
  <conditionalFormatting sqref="C18">
    <cfRule type="duplicateValues" dxfId="169" priority="2"/>
  </conditionalFormatting>
  <conditionalFormatting sqref="C19">
    <cfRule type="duplicateValues" dxfId="168" priority="1"/>
  </conditionalFormatting>
  <conditionalFormatting sqref="C21">
    <cfRule type="duplicateValues" dxfId="167" priority="4"/>
  </conditionalFormatting>
  <pageMargins left="0.70866141732283472" right="0.31496062992125984" top="0.59055118110236227" bottom="0" header="0.31496062992125984" footer="0.31496062992125984"/>
  <pageSetup paperSize="9" scale="75" orientation="portrait" horizontalDpi="4294967293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3404B-9086-4BFF-AC65-B8B819D836F4}">
  <sheetPr codeName="Sheet121">
    <tabColor rgb="FFFFC000"/>
    <pageSetUpPr fitToPage="1"/>
  </sheetPr>
  <dimension ref="B1:P1048574"/>
  <sheetViews>
    <sheetView topLeftCell="B7" workbookViewId="0">
      <selection activeCell="B1" sqref="B1:L4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535</v>
      </c>
      <c r="J10" s="24" t="s">
        <v>27</v>
      </c>
      <c r="K10" s="464">
        <v>202305605</v>
      </c>
      <c r="L10" s="465"/>
    </row>
    <row r="11" spans="2:12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 xml:space="preserve">FOOD REPUBLIC PTE LTD                                   Suntec City@Fruit stall                                         3, Temasek Boulevard #B1-115             Suntec City Mall Singapore 038983                          </v>
      </c>
      <c r="G11" s="470"/>
      <c r="H11" s="471"/>
      <c r="J11" s="26" t="s">
        <v>9</v>
      </c>
      <c r="K11" s="478">
        <v>45072</v>
      </c>
      <c r="L11" s="479"/>
    </row>
    <row r="12" spans="2:12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936</v>
      </c>
      <c r="D18" s="487" t="str">
        <f>VLOOKUP(C18,'Sales Master'!B$3:D$537,2,)</f>
        <v>Lychee in Syrup 荔枝</v>
      </c>
      <c r="E18" s="487"/>
      <c r="F18" s="487"/>
      <c r="G18" s="76">
        <v>2</v>
      </c>
      <c r="H18" s="183" t="str">
        <f>VLOOKUP(C18,'Sales Master'!$B$3:$F$2420,5,0)</f>
        <v>12can/箱</v>
      </c>
      <c r="I18" s="513" t="str">
        <f>VLOOKUP(C18,'Sales Master'!$B$3:$E$2420,4,0)</f>
        <v>MiLi</v>
      </c>
      <c r="J18" s="513"/>
      <c r="K18" s="83">
        <f>VLOOKUP(C18,'Sales Master'!B$3:I$537,8,0)</f>
        <v>26.5</v>
      </c>
      <c r="L18" s="84">
        <f>K18*G18</f>
        <v>53</v>
      </c>
      <c r="N18" s="145">
        <f>VLOOKUP(C18,'Sales Master'!$B$3:$DA$2279,104,0)</f>
        <v>20</v>
      </c>
      <c r="O18" s="145">
        <f>K18-N18</f>
        <v>6.5</v>
      </c>
      <c r="P18" s="145">
        <f>O18*G18</f>
        <v>13</v>
      </c>
    </row>
    <row r="19" spans="2:16" ht="20.149999999999999" customHeight="1" x14ac:dyDescent="0.45">
      <c r="B19" s="29"/>
      <c r="C19" s="17"/>
      <c r="D19" s="487"/>
      <c r="E19" s="487"/>
      <c r="F19" s="487"/>
      <c r="G19" s="76"/>
      <c r="H19" s="183"/>
      <c r="I19" s="513"/>
      <c r="J19" s="513"/>
      <c r="K19" s="83"/>
      <c r="L19" s="84"/>
      <c r="N19" s="145"/>
      <c r="O19" s="145"/>
      <c r="P19" s="145"/>
    </row>
    <row r="20" spans="2:16" ht="20.149999999999999" customHeight="1" x14ac:dyDescent="0.45">
      <c r="B20" s="29"/>
      <c r="C20" s="17"/>
      <c r="D20" s="487"/>
      <c r="E20" s="487"/>
      <c r="F20" s="487"/>
      <c r="G20" s="76"/>
      <c r="H20" s="56"/>
      <c r="I20" s="494"/>
      <c r="J20" s="494"/>
      <c r="K20" s="30"/>
      <c r="L20" s="31"/>
    </row>
    <row r="21" spans="2:16" ht="20.149999999999999" customHeight="1" x14ac:dyDescent="0.45">
      <c r="B21" s="29"/>
      <c r="C21" s="17"/>
      <c r="D21" s="487"/>
      <c r="E21" s="487"/>
      <c r="F21" s="487"/>
      <c r="G21" s="76"/>
      <c r="H21" s="56"/>
      <c r="I21" s="494"/>
      <c r="J21" s="494"/>
      <c r="K21" s="30"/>
      <c r="L21" s="31"/>
    </row>
    <row r="22" spans="2:16" ht="20.149999999999999" customHeight="1" x14ac:dyDescent="0.45">
      <c r="B22" s="29"/>
      <c r="C22" s="17"/>
      <c r="D22" s="487"/>
      <c r="E22" s="487"/>
      <c r="F22" s="487"/>
      <c r="G22" s="76"/>
      <c r="H22" s="56"/>
      <c r="I22" s="494"/>
      <c r="J22" s="494"/>
      <c r="K22" s="30"/>
      <c r="L22" s="31"/>
    </row>
    <row r="23" spans="2:16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31"/>
    </row>
    <row r="24" spans="2:16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31"/>
    </row>
    <row r="25" spans="2:16" ht="20.149999999999999" customHeight="1" x14ac:dyDescent="0.45">
      <c r="B25" s="29"/>
      <c r="C25" s="17"/>
      <c r="G25" s="76"/>
      <c r="H25" s="56"/>
      <c r="I25" s="56"/>
      <c r="J25" s="56"/>
      <c r="K25" s="30"/>
      <c r="L25" s="31"/>
    </row>
    <row r="26" spans="2:16" ht="20.149999999999999" customHeight="1" x14ac:dyDescent="0.45">
      <c r="B26" s="104"/>
      <c r="C26" s="105"/>
      <c r="D26" s="514"/>
      <c r="E26" s="514"/>
      <c r="F26" s="514"/>
      <c r="G26" s="105"/>
      <c r="H26" s="105"/>
      <c r="I26" s="124"/>
      <c r="J26" s="124"/>
      <c r="K26" s="108"/>
      <c r="L26" s="125"/>
    </row>
    <row r="27" spans="2:16" ht="20.149999999999999" customHeight="1" thickBot="1" x14ac:dyDescent="0.5">
      <c r="B27" s="36"/>
      <c r="L27" s="37"/>
    </row>
    <row r="28" spans="2:16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89" t="s">
        <v>13</v>
      </c>
      <c r="K28" s="490"/>
      <c r="L28" s="38">
        <f>SUM(L18:L27)</f>
        <v>53</v>
      </c>
      <c r="M28" s="63">
        <f>SUM(P18:P26)</f>
        <v>13</v>
      </c>
      <c r="N28" s="133">
        <f>M28/L28</f>
        <v>0.24528301886792453</v>
      </c>
    </row>
    <row r="29" spans="2:16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6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91" t="s">
        <v>19</v>
      </c>
      <c r="K30" s="492"/>
      <c r="L30" s="41">
        <f>L28-L29</f>
        <v>53</v>
      </c>
    </row>
    <row r="31" spans="2:16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4.7699999999999996</v>
      </c>
    </row>
    <row r="32" spans="2:16" ht="20.149999999999999" customHeight="1" thickBot="1" x14ac:dyDescent="0.5">
      <c r="B32" s="10" t="s">
        <v>676</v>
      </c>
      <c r="C32" s="6"/>
      <c r="D32" s="6"/>
      <c r="E32" s="6"/>
      <c r="F32" s="6"/>
      <c r="G32" s="6"/>
      <c r="H32" s="6"/>
      <c r="I32" s="6"/>
      <c r="J32" s="485" t="s">
        <v>21</v>
      </c>
      <c r="K32" s="486"/>
      <c r="L32" s="43">
        <f>L30+L31</f>
        <v>57.769999999999996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144" t="s">
        <v>666</v>
      </c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  <row r="1048574" spans="8:16" x14ac:dyDescent="0.45">
      <c r="H1048574" s="183"/>
      <c r="I1048574" s="513"/>
      <c r="J1048574" s="513"/>
      <c r="K1048574" s="83"/>
      <c r="L1048574" s="84"/>
      <c r="N1048574" s="145"/>
      <c r="O1048574" s="145"/>
      <c r="P1048574" s="145"/>
    </row>
  </sheetData>
  <mergeCells count="34">
    <mergeCell ref="J32:K32"/>
    <mergeCell ref="I1048574:J1048574"/>
    <mergeCell ref="D24:F24"/>
    <mergeCell ref="I24:J24"/>
    <mergeCell ref="D26:F26"/>
    <mergeCell ref="J28:K28"/>
    <mergeCell ref="J30:K30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66" priority="2"/>
  </conditionalFormatting>
  <conditionalFormatting sqref="C19">
    <cfRule type="duplicateValues" dxfId="165" priority="1"/>
  </conditionalFormatting>
  <conditionalFormatting sqref="C21">
    <cfRule type="duplicateValues" dxfId="164" priority="3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B608C-43E6-4AA9-8E82-25785AD9E2BF}">
  <sheetPr codeName="Sheet159">
    <tabColor rgb="FFFFC000"/>
    <pageSetUpPr fitToPage="1"/>
  </sheetPr>
  <dimension ref="B1:V51"/>
  <sheetViews>
    <sheetView topLeftCell="A39" zoomScaleNormal="100" workbookViewId="0">
      <selection activeCell="I31" sqref="I3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100</v>
      </c>
      <c r="J10" s="24" t="s">
        <v>27</v>
      </c>
      <c r="K10" s="464">
        <v>202501245</v>
      </c>
      <c r="L10" s="465"/>
    </row>
    <row r="11" spans="2:14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 xml:space="preserve">FOOD REPUBLIC PTE LTD             @WOODLEIGH - DRINK (STALL: #07)               11, Bidadari Drive #B1-09/10 The Woodleigh Mall Singapore 367803                                   </v>
      </c>
      <c r="G11" s="470"/>
      <c r="H11" s="471"/>
      <c r="J11" s="26" t="s">
        <v>9</v>
      </c>
      <c r="K11" s="512">
        <v>45668</v>
      </c>
      <c r="L11" s="479"/>
    </row>
    <row r="12" spans="2:14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>
        <v>4500322460</v>
      </c>
      <c r="L12" s="483"/>
    </row>
    <row r="13" spans="2:14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212" t="s">
        <v>1280</v>
      </c>
    </row>
    <row r="14" spans="2:14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  <c r="N14" s="93" t="s">
        <v>2102</v>
      </c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520695</v>
      </c>
      <c r="C18" s="212" t="str">
        <f>VLOOKUP(B18,'Sales Master'!A$3:B$537,2,0)</f>
        <v>P3001B</v>
      </c>
      <c r="D18" s="487" t="str">
        <f>VLOOKUP(C18,'Sales Master'!B$3:D$537,2,)</f>
        <v>Atap Seeds in Syrup 亚嗒子</v>
      </c>
      <c r="E18" s="487"/>
      <c r="F18" s="487"/>
      <c r="G18" s="76">
        <v>2</v>
      </c>
      <c r="H18" s="247" t="str">
        <f>VLOOKUP(C18,'Sales Master'!$B$3:$F$2420,5,0)</f>
        <v>NW(1.6:0.6) 2.2kg/ Bag包</v>
      </c>
      <c r="I18" s="513" t="str">
        <f>VLOOKUP(C18,'Sales Master'!$B$3:$E$2420,4,0)</f>
        <v>DO!</v>
      </c>
      <c r="J18" s="513"/>
      <c r="K18" s="83">
        <f>VLOOKUP(C18,'Sales Master'!B$3:I$537,8,0)</f>
        <v>10</v>
      </c>
      <c r="L18" s="84">
        <f t="shared" ref="L18" si="0">K18*G18</f>
        <v>20</v>
      </c>
      <c r="R18" s="93">
        <v>1</v>
      </c>
      <c r="S18" s="93" t="s">
        <v>200</v>
      </c>
      <c r="T18" s="93" t="s">
        <v>429</v>
      </c>
      <c r="U18" s="93"/>
      <c r="V18" s="93">
        <v>32</v>
      </c>
    </row>
    <row r="19" spans="2:22" ht="20.149999999999999" customHeight="1" x14ac:dyDescent="0.45">
      <c r="B19" s="29">
        <v>520704</v>
      </c>
      <c r="C19" s="212" t="str">
        <f>VLOOKUP(B19,'Sales Master'!A$3:B$537,2,0)</f>
        <v>M1014</v>
      </c>
      <c r="D19" s="487" t="str">
        <f>VLOOKUP(C19,'Sales Master'!B$3:D$537,2,)</f>
        <v>Chendol 浆咯</v>
      </c>
      <c r="E19" s="487"/>
      <c r="F19" s="487"/>
      <c r="G19" s="76">
        <v>2</v>
      </c>
      <c r="H19" s="247" t="str">
        <f>VLOOKUP(C19,'Sales Master'!$B$3:$F$2420,5,0)</f>
        <v>NW(2.2:0.8) 3kg/ Pkt包</v>
      </c>
      <c r="I19" s="513" t="str">
        <f>VLOOKUP(C19,'Sales Master'!$B$3:$E$2420,4,0)</f>
        <v>DO!</v>
      </c>
      <c r="J19" s="513"/>
      <c r="K19" s="83">
        <f>VLOOKUP(C19,'Sales Master'!B$3:I$537,8,0)</f>
        <v>7.5</v>
      </c>
      <c r="L19" s="84">
        <f t="shared" ref="L19:L29" si="1">K19*G19</f>
        <v>15</v>
      </c>
      <c r="R19" s="93"/>
    </row>
    <row r="20" spans="2:22" ht="20.149999999999999" customHeight="1" x14ac:dyDescent="0.45">
      <c r="B20" s="29">
        <v>520714</v>
      </c>
      <c r="C20" s="212" t="str">
        <f>VLOOKUP(B20,'Sales Master'!A$3:B$537,2,0)</f>
        <v>P3019A</v>
      </c>
      <c r="D20" s="487" t="str">
        <f>VLOOKUP(C20,'Sales Master'!B$3:D$537,2,)</f>
        <v>Dried Longan 龙眼干</v>
      </c>
      <c r="E20" s="487"/>
      <c r="F20" s="487"/>
      <c r="G20" s="76">
        <v>2</v>
      </c>
      <c r="H20" s="247" t="str">
        <f>VLOOKUP(C20,'Sales Master'!$B$3:$F$2420,5,0)</f>
        <v>1 kg/ Pkt包</v>
      </c>
      <c r="I20" s="513" t="str">
        <f>VLOOKUP(C20,'Sales Master'!$B$3:$E$2420,4,0)</f>
        <v>TL</v>
      </c>
      <c r="J20" s="513"/>
      <c r="K20" s="83">
        <f>VLOOKUP(C20,'Sales Master'!B$3:I$537,8,0)</f>
        <v>15</v>
      </c>
      <c r="L20" s="84">
        <f t="shared" si="1"/>
        <v>30</v>
      </c>
      <c r="R20" s="93"/>
    </row>
    <row r="21" spans="2:22" ht="20.149999999999999" customHeight="1" x14ac:dyDescent="0.45">
      <c r="B21" s="420">
        <v>520786</v>
      </c>
      <c r="C21" s="212" t="str">
        <f>VLOOKUP(B21,'Sales Master'!A$3:B$537,2,0)</f>
        <v>P3023</v>
      </c>
      <c r="D21" s="487" t="str">
        <f>VLOOKUP(C21,'Sales Master'!B$3:D$537,2,)</f>
        <v>Fungus黄 木耳朵</v>
      </c>
      <c r="E21" s="487"/>
      <c r="F21" s="487"/>
      <c r="G21" s="76">
        <v>1</v>
      </c>
      <c r="H21" s="247" t="str">
        <f>VLOOKUP(C21,'Sales Master'!$B$3:$F$2420,5,0)</f>
        <v>1 kg</v>
      </c>
      <c r="I21" s="513" t="str">
        <f>VLOOKUP(C21,'Sales Master'!$B$3:$E$2420,4,0)</f>
        <v>黄</v>
      </c>
      <c r="J21" s="513"/>
      <c r="K21" s="83">
        <f>VLOOKUP(C21,'Sales Master'!B$3:I$537,8,0)</f>
        <v>16</v>
      </c>
      <c r="L21" s="84">
        <f t="shared" si="1"/>
        <v>16</v>
      </c>
      <c r="R21" s="93"/>
    </row>
    <row r="22" spans="2:22" ht="20.149999999999999" customHeight="1" x14ac:dyDescent="0.45">
      <c r="B22" s="420">
        <v>520696</v>
      </c>
      <c r="C22" s="212" t="str">
        <f>VLOOKUP(B22,'Sales Master'!A$3:B$537,2,0)</f>
        <v>P3016A</v>
      </c>
      <c r="D22" s="487" t="str">
        <f>VLOOKUP(C22,'Sales Master'!B$3:D$537,2,)</f>
        <v>Pearl Barley 薏米</v>
      </c>
      <c r="E22" s="487"/>
      <c r="F22" s="487"/>
      <c r="G22" s="76">
        <v>1</v>
      </c>
      <c r="H22" s="247" t="str">
        <f>VLOOKUP(C22,'Sales Master'!$B$3:$F$2420,5,0)</f>
        <v>5 KG</v>
      </c>
      <c r="I22" s="513" t="str">
        <f>VLOOKUP(C22,'Sales Master'!$B$3:$E$2420,4,0)</f>
        <v>-</v>
      </c>
      <c r="J22" s="513"/>
      <c r="K22" s="83">
        <f>VLOOKUP(C22,'Sales Master'!B$3:I$537,8,0)</f>
        <v>10</v>
      </c>
      <c r="L22" s="84">
        <f t="shared" si="1"/>
        <v>10</v>
      </c>
      <c r="R22" s="93"/>
    </row>
    <row r="23" spans="2:22" ht="20.149999999999999" customHeight="1" x14ac:dyDescent="0.45">
      <c r="B23" s="29">
        <v>520738</v>
      </c>
      <c r="C23" s="212" t="str">
        <f>VLOOKUP(B23,'Sales Master'!A$3:B$537,2,0)</f>
        <v>P3005A</v>
      </c>
      <c r="D23" s="487" t="str">
        <f>VLOOKUP(C23,'Sales Master'!B$3:D$537,2,)</f>
        <v>Red Bean 红豆 (5.5 mm)</v>
      </c>
      <c r="E23" s="487"/>
      <c r="F23" s="487"/>
      <c r="G23" s="76">
        <v>1</v>
      </c>
      <c r="H23" s="247" t="str">
        <f>VLOOKUP(C23,'Sales Master'!$B$3:$F$2420,5,0)</f>
        <v>5 KG</v>
      </c>
      <c r="I23" s="513" t="str">
        <f>VLOOKUP(C23,'Sales Master'!$B$3:$E$2420,4,0)</f>
        <v>-</v>
      </c>
      <c r="J23" s="513"/>
      <c r="K23" s="83">
        <f>VLOOKUP(C23,'Sales Master'!B$3:I$537,8,0)</f>
        <v>17.5</v>
      </c>
      <c r="L23" s="84">
        <f t="shared" si="1"/>
        <v>17.5</v>
      </c>
      <c r="R23" s="93"/>
    </row>
    <row r="24" spans="2:22" ht="20.149999999999999" customHeight="1" x14ac:dyDescent="0.45">
      <c r="B24" s="29">
        <v>520700</v>
      </c>
      <c r="C24" s="212" t="str">
        <f>VLOOKUP(B24,'Sales Master'!A$3:B$537,2,0)</f>
        <v>P5002A</v>
      </c>
      <c r="D24" s="487" t="str">
        <f>VLOOKUP(C24,'Sales Master'!B$3:D$537,2,)</f>
        <v>Brown Sugar 黑糖</v>
      </c>
      <c r="E24" s="487"/>
      <c r="F24" s="487"/>
      <c r="G24" s="76">
        <v>1</v>
      </c>
      <c r="H24" s="247" t="str">
        <f>VLOOKUP(C24,'Sales Master'!$B$3:$F$2420,5,0)</f>
        <v>6 KG</v>
      </c>
      <c r="I24" s="513" t="str">
        <f>VLOOKUP(C24,'Sales Master'!$B$3:$E$2420,4,0)</f>
        <v>Star</v>
      </c>
      <c r="J24" s="513"/>
      <c r="K24" s="83">
        <f>VLOOKUP(C24,'Sales Master'!B$3:I$537,8,0)</f>
        <v>17</v>
      </c>
      <c r="L24" s="84">
        <f t="shared" si="1"/>
        <v>17</v>
      </c>
      <c r="R24" s="93"/>
    </row>
    <row r="25" spans="2:22" ht="20.149999999999999" customHeight="1" x14ac:dyDescent="0.45">
      <c r="B25" s="29">
        <v>520711</v>
      </c>
      <c r="C25" s="212" t="str">
        <f>VLOOKUP(B25,'Sales Master'!A$3:B$537,2,0)</f>
        <v>P4014</v>
      </c>
      <c r="D25" s="487" t="str">
        <f>VLOOKUP(C25,'Sales Master'!B$3:D$537,2,)</f>
        <v>Cream Corn 玉米浆</v>
      </c>
      <c r="E25" s="487"/>
      <c r="F25" s="487"/>
      <c r="G25" s="76">
        <v>1</v>
      </c>
      <c r="H25" s="247" t="str">
        <f>VLOOKUP(C25,'Sales Master'!$B$3:$F$2420,5,0)</f>
        <v>410 GM x 24/ Ctn箱</v>
      </c>
      <c r="I25" s="513" t="str">
        <f>VLOOKUP(C25,'Sales Master'!$B$3:$E$2420,4,0)</f>
        <v>Statue</v>
      </c>
      <c r="J25" s="513"/>
      <c r="K25" s="83">
        <f>VLOOKUP(C25,'Sales Master'!B$3:I$537,8,0)</f>
        <v>23</v>
      </c>
      <c r="L25" s="84">
        <f t="shared" si="1"/>
        <v>23</v>
      </c>
      <c r="R25" s="93"/>
    </row>
    <row r="26" spans="2:22" ht="20.149999999999999" customHeight="1" x14ac:dyDescent="0.45">
      <c r="B26" s="29">
        <v>520721</v>
      </c>
      <c r="C26" s="212" t="str">
        <f>VLOOKUP(B26,'Sales Master'!A$3:B$537,2,0)</f>
        <v>P3004A</v>
      </c>
      <c r="D26" s="487" t="str">
        <f>VLOOKUP(C26,'Sales Master'!B$3:D$537,2,)</f>
        <v>GingKo Nut (Peel off) 白果仁</v>
      </c>
      <c r="E26" s="487"/>
      <c r="F26" s="487"/>
      <c r="G26" s="76">
        <v>5</v>
      </c>
      <c r="H26" s="247" t="str">
        <f>VLOOKUP(C26,'Sales Master'!$B$3:$F$2420,5,0)</f>
        <v>1 KG (500 GM X 2)</v>
      </c>
      <c r="I26" s="513" t="str">
        <f>VLOOKUP(C26,'Sales Master'!$B$3:$E$2420,4,0)</f>
        <v>-</v>
      </c>
      <c r="J26" s="513"/>
      <c r="K26" s="83">
        <f>VLOOKUP(C26,'Sales Master'!B$3:I$537,8,0)</f>
        <v>4.5</v>
      </c>
      <c r="L26" s="84">
        <f t="shared" si="1"/>
        <v>22.5</v>
      </c>
      <c r="R26" s="93"/>
    </row>
    <row r="27" spans="2:22" ht="20.149999999999999" customHeight="1" x14ac:dyDescent="0.45">
      <c r="B27" s="29">
        <v>520728</v>
      </c>
      <c r="C27" s="212" t="str">
        <f>VLOOKUP(B27,'Sales Master'!A$3:B$537,2,0)</f>
        <v>P4010</v>
      </c>
      <c r="D27" s="487" t="str">
        <f>VLOOKUP(C27,'Sales Master'!B$3:D$537,2,)</f>
        <v>Lychee in Syrup 荔枝</v>
      </c>
      <c r="E27" s="487"/>
      <c r="F27" s="487"/>
      <c r="G27" s="76">
        <v>1</v>
      </c>
      <c r="H27" s="247" t="str">
        <f>VLOOKUP(C27,'Sales Master'!$B$3:$F$2420,5,0)</f>
        <v>12can/箱</v>
      </c>
      <c r="I27" s="513" t="str">
        <f>VLOOKUP(C27,'Sales Master'!$B$3:$E$2420,4,0)</f>
        <v>MiLi</v>
      </c>
      <c r="J27" s="513"/>
      <c r="K27" s="83">
        <f>VLOOKUP(C27,'Sales Master'!B$3:I$537,8,0)</f>
        <v>26.5</v>
      </c>
      <c r="L27" s="84">
        <f t="shared" si="1"/>
        <v>26.5</v>
      </c>
      <c r="R27" s="93"/>
    </row>
    <row r="28" spans="2:22" ht="20.149999999999999" customHeight="1" x14ac:dyDescent="0.45">
      <c r="B28" s="420">
        <v>520706</v>
      </c>
      <c r="C28" s="212" t="str">
        <f>VLOOKUP(B28,'Sales Master'!A$3:B$537,2,0)</f>
        <v>P5008</v>
      </c>
      <c r="D28" s="487" t="str">
        <f>VLOOKUP(C28,'Sales Master'!B$3:D$537,2,)</f>
        <v>Coconut Sugar 椰糖</v>
      </c>
      <c r="E28" s="487"/>
      <c r="F28" s="487"/>
      <c r="G28" s="76">
        <v>1</v>
      </c>
      <c r="H28" s="247" t="str">
        <f>VLOOKUP(C28,'Sales Master'!$B$3:$F$2420,5,0)</f>
        <v>10 KG/ ctn</v>
      </c>
      <c r="I28" s="513" t="str">
        <f>VLOOKUP(C28,'Sales Master'!$B$3:$E$2420,4,0)</f>
        <v>BL BRAND</v>
      </c>
      <c r="J28" s="513"/>
      <c r="K28" s="83">
        <f>VLOOKUP(C28,'Sales Master'!B$3:I$537,8,0)</f>
        <v>35</v>
      </c>
      <c r="L28" s="84">
        <f t="shared" si="1"/>
        <v>35</v>
      </c>
      <c r="R28" s="93"/>
    </row>
    <row r="29" spans="2:22" ht="20.149999999999999" customHeight="1" x14ac:dyDescent="0.45">
      <c r="B29" s="29">
        <v>520736</v>
      </c>
      <c r="C29" s="212" t="str">
        <f>VLOOKUP(B29,'Sales Master'!A$3:B$537,2,0)</f>
        <v>P6015</v>
      </c>
      <c r="D29" s="487" t="str">
        <f>VLOOKUP(C29,'Sales Master'!B$3:D$537,2,)</f>
        <v>Pumpkin Gourd 金瓜</v>
      </c>
      <c r="E29" s="487"/>
      <c r="F29" s="487"/>
      <c r="G29" s="76">
        <v>2</v>
      </c>
      <c r="H29" s="247" t="str">
        <f>VLOOKUP(C29,'Sales Master'!$B$3:$F$2420,5,0)</f>
        <v>1 KG</v>
      </c>
      <c r="I29" s="513" t="str">
        <f>VLOOKUP(C29,'Sales Master'!$B$3:$E$2420,4,0)</f>
        <v>-</v>
      </c>
      <c r="J29" s="513"/>
      <c r="K29" s="83">
        <f>VLOOKUP(C29,'Sales Master'!B$3:I$537,8,0)</f>
        <v>2.5</v>
      </c>
      <c r="L29" s="84">
        <f t="shared" si="1"/>
        <v>5</v>
      </c>
      <c r="R29" s="93"/>
    </row>
    <row r="30" spans="2:22" ht="20.149999999999999" customHeight="1" x14ac:dyDescent="0.45">
      <c r="B30" s="29"/>
      <c r="C30" s="212"/>
      <c r="G30" s="76"/>
      <c r="H30" s="247"/>
      <c r="I30" s="209"/>
      <c r="J30" s="209"/>
      <c r="K30" s="83"/>
      <c r="L30" s="84"/>
      <c r="N30" s="145"/>
      <c r="O30" s="145"/>
      <c r="P30" s="145"/>
      <c r="Q30" s="170"/>
      <c r="R30" s="93"/>
    </row>
    <row r="31" spans="2:22" ht="20.149999999999999" customHeight="1" x14ac:dyDescent="0.45">
      <c r="B31" s="29"/>
      <c r="C31" s="419"/>
      <c r="G31" s="76"/>
      <c r="H31" s="247"/>
      <c r="I31" s="209"/>
      <c r="J31" s="209"/>
      <c r="K31" s="83"/>
      <c r="L31" s="84"/>
      <c r="N31" s="145"/>
      <c r="O31" s="145"/>
      <c r="P31" s="145"/>
      <c r="Q31" s="170"/>
      <c r="R31" s="93"/>
    </row>
    <row r="32" spans="2:22" ht="20.149999999999999" customHeight="1" x14ac:dyDescent="0.45">
      <c r="B32" s="29"/>
      <c r="C32" s="212"/>
      <c r="G32" s="76"/>
      <c r="H32" s="247"/>
      <c r="I32" s="209"/>
      <c r="J32" s="209"/>
      <c r="K32" s="83"/>
      <c r="L32" s="84"/>
      <c r="N32" s="145"/>
      <c r="O32" s="145"/>
      <c r="P32" s="145"/>
      <c r="Q32" s="170"/>
      <c r="R32" s="93"/>
    </row>
    <row r="33" spans="2:18" ht="20.149999999999999" customHeight="1" x14ac:dyDescent="0.45">
      <c r="B33" s="29"/>
      <c r="C33" s="212"/>
      <c r="G33" s="76"/>
      <c r="H33" s="247"/>
      <c r="I33" s="209"/>
      <c r="J33" s="209"/>
      <c r="K33" s="83"/>
      <c r="L33" s="84"/>
      <c r="N33" s="145"/>
      <c r="O33" s="145"/>
      <c r="P33" s="145"/>
      <c r="Q33" s="170"/>
      <c r="R33" s="93"/>
    </row>
    <row r="34" spans="2:18" ht="20.149999999999999" customHeight="1" x14ac:dyDescent="0.45">
      <c r="B34" s="29"/>
      <c r="C34" s="212"/>
      <c r="G34" s="76"/>
      <c r="H34" s="247"/>
      <c r="I34" s="209"/>
      <c r="J34" s="209"/>
      <c r="K34" s="83"/>
      <c r="L34" s="84"/>
      <c r="N34" s="145"/>
      <c r="O34" s="145"/>
      <c r="P34" s="145"/>
      <c r="Q34" s="170"/>
      <c r="R34" s="93"/>
    </row>
    <row r="35" spans="2:18" ht="20.149999999999999" customHeight="1" x14ac:dyDescent="0.45">
      <c r="B35" s="29"/>
      <c r="C35" s="212"/>
      <c r="G35" s="76"/>
      <c r="H35" s="247"/>
      <c r="I35" s="209"/>
      <c r="J35" s="209"/>
      <c r="K35" s="83"/>
      <c r="L35" s="84"/>
      <c r="N35" s="145"/>
      <c r="O35" s="145"/>
      <c r="P35" s="145"/>
      <c r="Q35" s="170"/>
      <c r="R35" s="93"/>
    </row>
    <row r="36" spans="2:18" ht="20.149999999999999" customHeight="1" x14ac:dyDescent="0.45">
      <c r="B36" s="29"/>
      <c r="C36" s="212"/>
      <c r="G36" s="76"/>
      <c r="H36" s="183"/>
      <c r="I36" s="209"/>
      <c r="J36" s="209"/>
      <c r="K36" s="83"/>
      <c r="L36" s="84"/>
      <c r="N36" s="145"/>
      <c r="O36" s="145"/>
      <c r="P36" s="145"/>
      <c r="Q36" s="170"/>
      <c r="R36" s="93"/>
    </row>
    <row r="37" spans="2:18" ht="20.149999999999999" customHeight="1" x14ac:dyDescent="0.45">
      <c r="B37" s="104"/>
      <c r="C37" s="105"/>
      <c r="D37" s="514"/>
      <c r="E37" s="514"/>
      <c r="F37" s="514"/>
      <c r="G37" s="105"/>
      <c r="H37" s="105"/>
      <c r="I37" s="124"/>
      <c r="J37" s="124"/>
      <c r="K37" s="108"/>
      <c r="L37" s="125"/>
    </row>
    <row r="38" spans="2:18" ht="20.149999999999999" customHeight="1" thickBot="1" x14ac:dyDescent="0.5">
      <c r="B38" s="36"/>
      <c r="L38" s="37"/>
    </row>
    <row r="39" spans="2:18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89" t="s">
        <v>13</v>
      </c>
      <c r="K39" s="490"/>
      <c r="L39" s="38">
        <f>SUM(L18:L38)</f>
        <v>237.5</v>
      </c>
      <c r="M39" s="63">
        <f>SUM(P18:P37)</f>
        <v>0</v>
      </c>
      <c r="N39" s="133">
        <f>M39/L39</f>
        <v>0</v>
      </c>
    </row>
    <row r="40" spans="2:18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</row>
    <row r="41" spans="2:18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91" t="s">
        <v>19</v>
      </c>
      <c r="K41" s="492"/>
      <c r="L41" s="41">
        <f>L39-L40</f>
        <v>237.5</v>
      </c>
    </row>
    <row r="42" spans="2:18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21.375</v>
      </c>
    </row>
    <row r="43" spans="2:18" ht="20.149999999999999" customHeight="1" thickBot="1" x14ac:dyDescent="0.5">
      <c r="B43" s="10" t="s">
        <v>676</v>
      </c>
      <c r="C43" s="6"/>
      <c r="D43" s="6"/>
      <c r="E43" s="6"/>
      <c r="F43" s="6"/>
      <c r="G43" s="6"/>
      <c r="H43" s="6"/>
      <c r="I43" s="6"/>
      <c r="J43" s="485" t="s">
        <v>21</v>
      </c>
      <c r="K43" s="486"/>
      <c r="L43" s="43">
        <f>L41+L42</f>
        <v>258.875</v>
      </c>
    </row>
    <row r="44" spans="2:18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8" ht="20.149999999999999" customHeight="1" x14ac:dyDescent="0.45">
      <c r="B45" s="144" t="s">
        <v>666</v>
      </c>
      <c r="L45" s="37"/>
    </row>
    <row r="46" spans="2:18" ht="20.149999999999999" customHeight="1" x14ac:dyDescent="0.45">
      <c r="B46" s="36"/>
      <c r="L46" s="37"/>
    </row>
    <row r="47" spans="2:18" ht="20.149999999999999" customHeight="1" x14ac:dyDescent="0.45">
      <c r="B47" s="36"/>
      <c r="L47" s="37"/>
    </row>
    <row r="48" spans="2:18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43">
    <mergeCell ref="J43:K43"/>
    <mergeCell ref="J39:K39"/>
    <mergeCell ref="D37:F37"/>
    <mergeCell ref="J41:K41"/>
    <mergeCell ref="D26:F26"/>
    <mergeCell ref="I26:J26"/>
    <mergeCell ref="D29:F29"/>
    <mergeCell ref="I29:J29"/>
    <mergeCell ref="D21:F21"/>
    <mergeCell ref="I21:J21"/>
    <mergeCell ref="D28:F28"/>
    <mergeCell ref="I28:J28"/>
    <mergeCell ref="D27:F27"/>
    <mergeCell ref="I27:J27"/>
    <mergeCell ref="D17:F17"/>
    <mergeCell ref="D25:F25"/>
    <mergeCell ref="D24:F24"/>
    <mergeCell ref="D18:F18"/>
    <mergeCell ref="I17:J17"/>
    <mergeCell ref="D19:F19"/>
    <mergeCell ref="I19:J19"/>
    <mergeCell ref="D20:F20"/>
    <mergeCell ref="I18:J18"/>
    <mergeCell ref="D23:F23"/>
    <mergeCell ref="I24:J24"/>
    <mergeCell ref="I23:J23"/>
    <mergeCell ref="I20:J20"/>
    <mergeCell ref="I25:J25"/>
    <mergeCell ref="D22:F22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N13">
    <cfRule type="duplicateValues" dxfId="257" priority="1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D0E4C-AA55-491B-A5D3-F644B9045C3A}">
  <sheetPr codeName="Sheet140">
    <tabColor rgb="FFFFC000"/>
    <pageSetUpPr fitToPage="1"/>
  </sheetPr>
  <dimension ref="B1:W43"/>
  <sheetViews>
    <sheetView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54296875" style="19" customWidth="1"/>
    <col min="9" max="9" width="1.45312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1528</v>
      </c>
      <c r="J10" s="24" t="s">
        <v>27</v>
      </c>
      <c r="K10" s="464">
        <v>202403166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Koufu - Drink                                             Blk 511 Canberra Road, #01-01 Sembawang Mart, Singapore 750511</v>
      </c>
      <c r="G11" s="470"/>
      <c r="H11" s="471"/>
      <c r="J11" s="26" t="s">
        <v>9</v>
      </c>
      <c r="K11" s="478">
        <v>45358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1936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2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7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3" ht="20.149999999999999" customHeight="1" x14ac:dyDescent="0.45">
      <c r="B18" s="29"/>
      <c r="C18" s="212" t="s">
        <v>966</v>
      </c>
      <c r="D18" s="487" t="str">
        <f>VLOOKUP(C18,'Sales Master'!B$3:D$537,2,)</f>
        <v>Coconut Milk 椰浆</v>
      </c>
      <c r="E18" s="487"/>
      <c r="F18" s="487"/>
      <c r="G18" s="17">
        <v>2</v>
      </c>
      <c r="H18" s="186" t="str">
        <f>VLOOKUP(C18,'Sales Master'!$B$3:$F$2488,5,0)</f>
        <v>(1L x 12bag)/箱</v>
      </c>
      <c r="I18" s="484" t="str">
        <f>VLOOKUP(C18,'Sales Master'!$B$3:$E$2488,4,0)</f>
        <v>Kara UHT</v>
      </c>
      <c r="J18" s="484"/>
      <c r="K18" s="30">
        <f>VLOOKUP(C18,'Sales Master'!B$3:J$537,9,0)</f>
        <v>54</v>
      </c>
      <c r="L18" s="64">
        <f>K18*G18</f>
        <v>108</v>
      </c>
      <c r="M18" s="65"/>
      <c r="N18" s="145">
        <f>VLOOKUP(C18,'Sales Master'!$B$3:$DA$2279,104,0)</f>
        <v>35.799999999999997</v>
      </c>
      <c r="O18" s="145">
        <f>K18-N18</f>
        <v>18.200000000000003</v>
      </c>
      <c r="P18" s="145">
        <f>O18*G18</f>
        <v>36.400000000000006</v>
      </c>
    </row>
    <row r="19" spans="2:23" ht="20.149999999999999" customHeight="1" x14ac:dyDescent="0.45">
      <c r="B19" s="29"/>
      <c r="C19" s="147"/>
      <c r="D19" s="487"/>
      <c r="E19" s="487"/>
      <c r="F19" s="487"/>
      <c r="G19" s="17"/>
      <c r="H19" s="186"/>
      <c r="I19" s="484"/>
      <c r="J19" s="484"/>
      <c r="K19" s="30"/>
      <c r="L19" s="64"/>
      <c r="M19" s="65"/>
      <c r="N19" s="145"/>
      <c r="O19" s="145"/>
      <c r="P19" s="145"/>
      <c r="R19" s="19">
        <v>2</v>
      </c>
      <c r="S19" s="19" t="s">
        <v>54</v>
      </c>
      <c r="T19" s="19" t="s">
        <v>328</v>
      </c>
      <c r="V19" s="19">
        <v>9</v>
      </c>
      <c r="W19" s="19">
        <v>18</v>
      </c>
    </row>
    <row r="20" spans="2:23" ht="20.149999999999999" customHeight="1" x14ac:dyDescent="0.45">
      <c r="B20" s="29"/>
      <c r="C20" s="147"/>
      <c r="D20" s="487"/>
      <c r="E20" s="487"/>
      <c r="F20" s="487"/>
      <c r="G20" s="17"/>
      <c r="H20" s="186"/>
      <c r="I20" s="484"/>
      <c r="J20" s="484"/>
      <c r="K20" s="30"/>
      <c r="L20" s="64"/>
      <c r="M20" s="65"/>
      <c r="N20" s="145"/>
      <c r="O20" s="145"/>
      <c r="P20" s="145"/>
      <c r="R20" s="19">
        <v>1</v>
      </c>
      <c r="S20" s="19" t="s">
        <v>367</v>
      </c>
      <c r="T20" s="19" t="s">
        <v>429</v>
      </c>
      <c r="V20" s="19">
        <v>32</v>
      </c>
      <c r="W20" s="19">
        <v>32</v>
      </c>
    </row>
    <row r="21" spans="2:23" ht="20.149999999999999" customHeight="1" x14ac:dyDescent="0.45">
      <c r="B21" s="29"/>
      <c r="C21" s="147"/>
      <c r="D21" s="487"/>
      <c r="E21" s="487"/>
      <c r="F21" s="487"/>
      <c r="G21" s="17"/>
      <c r="H21" s="186"/>
      <c r="I21" s="484"/>
      <c r="J21" s="484"/>
      <c r="K21" s="30"/>
      <c r="L21" s="64"/>
      <c r="M21" s="65"/>
      <c r="N21" s="145"/>
      <c r="O21" s="145"/>
      <c r="P21" s="145"/>
      <c r="R21" s="19">
        <v>1</v>
      </c>
      <c r="S21" s="19" t="s">
        <v>367</v>
      </c>
      <c r="T21" s="19" t="s">
        <v>431</v>
      </c>
      <c r="V21" s="19">
        <v>26</v>
      </c>
      <c r="W21" s="19">
        <v>26</v>
      </c>
    </row>
    <row r="22" spans="2:23" ht="20.149999999999999" customHeight="1" x14ac:dyDescent="0.45">
      <c r="B22" s="29"/>
      <c r="C22" s="17"/>
      <c r="D22" s="487"/>
      <c r="E22" s="487"/>
      <c r="F22" s="487"/>
      <c r="G22" s="17"/>
      <c r="H22" s="186"/>
      <c r="I22" s="484"/>
      <c r="J22" s="484"/>
      <c r="K22" s="30"/>
      <c r="L22" s="64"/>
      <c r="M22" s="65"/>
      <c r="N22" s="145"/>
      <c r="O22" s="145"/>
      <c r="P22" s="145"/>
      <c r="R22" s="19">
        <v>1</v>
      </c>
      <c r="S22" s="19" t="s">
        <v>34</v>
      </c>
      <c r="T22" s="19" t="s">
        <v>79</v>
      </c>
      <c r="V22" s="19">
        <v>12</v>
      </c>
      <c r="W22" s="19">
        <v>12</v>
      </c>
    </row>
    <row r="23" spans="2:23" ht="20.149999999999999" customHeight="1" x14ac:dyDescent="0.45">
      <c r="B23" s="29"/>
      <c r="C23" s="17"/>
      <c r="D23" s="487"/>
      <c r="E23" s="487"/>
      <c r="F23" s="487"/>
      <c r="G23" s="17"/>
      <c r="H23" s="186"/>
      <c r="I23" s="484"/>
      <c r="J23" s="484"/>
      <c r="K23" s="30"/>
      <c r="L23" s="64"/>
      <c r="M23" s="65"/>
      <c r="N23" s="145"/>
      <c r="O23" s="145"/>
      <c r="P23" s="145"/>
      <c r="R23" s="19">
        <v>1</v>
      </c>
      <c r="S23" s="19" t="s">
        <v>34</v>
      </c>
      <c r="T23" s="19" t="s">
        <v>59</v>
      </c>
      <c r="V23" s="19">
        <v>6</v>
      </c>
      <c r="W23" s="19">
        <v>12</v>
      </c>
    </row>
    <row r="24" spans="2:23" ht="20.149999999999999" customHeight="1" x14ac:dyDescent="0.45">
      <c r="B24" s="29"/>
      <c r="C24" s="17"/>
      <c r="D24" s="487"/>
      <c r="E24" s="487"/>
      <c r="F24" s="487"/>
      <c r="G24" s="17"/>
      <c r="H24" s="56"/>
      <c r="I24" s="458"/>
      <c r="J24" s="458"/>
      <c r="K24" s="30"/>
      <c r="L24" s="64"/>
      <c r="M24" s="65"/>
      <c r="R24" s="19">
        <v>20</v>
      </c>
      <c r="S24" s="19" t="s">
        <v>34</v>
      </c>
      <c r="T24" s="19" t="s">
        <v>32</v>
      </c>
      <c r="V24" s="19">
        <v>1.8</v>
      </c>
      <c r="W24" s="19">
        <v>36</v>
      </c>
    </row>
    <row r="25" spans="2:23" ht="20.149999999999999" customHeight="1" x14ac:dyDescent="0.45">
      <c r="B25" s="29"/>
      <c r="C25" s="17"/>
      <c r="D25" s="487"/>
      <c r="E25" s="487"/>
      <c r="F25" s="487"/>
      <c r="G25" s="17"/>
      <c r="H25" s="56"/>
      <c r="I25" s="458"/>
      <c r="J25" s="458"/>
      <c r="K25" s="30"/>
      <c r="L25" s="64"/>
      <c r="M25" s="65"/>
    </row>
    <row r="26" spans="2:23" ht="20.149999999999999" customHeight="1" x14ac:dyDescent="0.45">
      <c r="B26" s="29"/>
      <c r="C26" s="17"/>
      <c r="D26" s="487"/>
      <c r="E26" s="487"/>
      <c r="F26" s="487"/>
      <c r="G26" s="17"/>
      <c r="H26" s="56"/>
      <c r="I26" s="458"/>
      <c r="J26" s="458"/>
      <c r="K26" s="30"/>
      <c r="L26" s="64"/>
      <c r="M26" s="65"/>
    </row>
    <row r="27" spans="2:23" ht="20.149999999999999" customHeight="1" x14ac:dyDescent="0.45">
      <c r="B27" s="29"/>
      <c r="C27" s="17"/>
      <c r="D27" s="487"/>
      <c r="E27" s="487"/>
      <c r="F27" s="487"/>
      <c r="G27" s="17"/>
      <c r="H27" s="56"/>
      <c r="I27" s="458"/>
      <c r="J27" s="458"/>
      <c r="K27" s="30"/>
      <c r="L27" s="64"/>
      <c r="M27" s="65"/>
    </row>
    <row r="28" spans="2:23" ht="20.149999999999999" customHeight="1" x14ac:dyDescent="0.45">
      <c r="B28" s="29"/>
      <c r="C28" s="17"/>
      <c r="D28" s="487"/>
      <c r="E28" s="487"/>
      <c r="F28" s="487"/>
      <c r="G28" s="17"/>
      <c r="H28" s="56"/>
      <c r="I28" s="458"/>
      <c r="J28" s="458"/>
      <c r="K28" s="30"/>
      <c r="L28" s="31"/>
    </row>
    <row r="29" spans="2:23" ht="20.149999999999999" customHeight="1" thickBot="1" x14ac:dyDescent="0.5">
      <c r="B29" s="32"/>
      <c r="C29" s="33"/>
      <c r="D29" s="488"/>
      <c r="E29" s="488"/>
      <c r="F29" s="488"/>
      <c r="G29" s="33"/>
      <c r="H29" s="57"/>
      <c r="I29" s="459"/>
      <c r="J29" s="459"/>
      <c r="K29" s="34"/>
      <c r="L29" s="35"/>
    </row>
    <row r="30" spans="2:23" ht="20.149999999999999" customHeight="1" thickBot="1" x14ac:dyDescent="0.5">
      <c r="B30" s="36"/>
      <c r="L30" s="37"/>
    </row>
    <row r="31" spans="2:2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89" t="s">
        <v>13</v>
      </c>
      <c r="K31" s="490"/>
      <c r="L31" s="38">
        <f>SUM(L17:L29)</f>
        <v>108</v>
      </c>
      <c r="M31" s="63">
        <f>SUM(P18:P29)-L31*0.02</f>
        <v>34.240000000000009</v>
      </c>
      <c r="N31" s="133">
        <f>M31/L31</f>
        <v>0.31703703703703712</v>
      </c>
    </row>
    <row r="32" spans="2:2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91" t="s">
        <v>19</v>
      </c>
      <c r="K33" s="492"/>
      <c r="L33" s="41">
        <f>L31-L32</f>
        <v>108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9.7199999999999989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85" t="s">
        <v>21</v>
      </c>
      <c r="K35" s="486"/>
      <c r="L35" s="43">
        <f>L33+L34</f>
        <v>117.72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2:F22"/>
    <mergeCell ref="I22:J22"/>
    <mergeCell ref="D19:F19"/>
    <mergeCell ref="I19:J19"/>
    <mergeCell ref="D20:F20"/>
    <mergeCell ref="I20:J20"/>
    <mergeCell ref="D21:F21"/>
    <mergeCell ref="I21:J21"/>
    <mergeCell ref="D18:F18"/>
    <mergeCell ref="I18:J18"/>
    <mergeCell ref="D17:F17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J31:K31"/>
    <mergeCell ref="J33:K33"/>
    <mergeCell ref="J35:K3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9C66A-20DB-4ED0-996E-03B3F824B79C}">
  <sheetPr codeName="Sheet172">
    <tabColor rgb="FF7030A0"/>
    <pageSetUpPr fitToPage="1"/>
  </sheetPr>
  <dimension ref="B1:V47"/>
  <sheetViews>
    <sheetView topLeftCell="A15" workbookViewId="0">
      <selection activeCell="B1" sqref="B1:L47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7.1796875" style="19" customWidth="1"/>
    <col min="7" max="7" width="8.54296875" style="19" customWidth="1"/>
    <col min="8" max="8" width="15.54296875" style="19" customWidth="1"/>
    <col min="9" max="9" width="2.179687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547</v>
      </c>
      <c r="J10" s="68" t="s">
        <v>27</v>
      </c>
      <c r="K10" s="464">
        <v>202306339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 - FRUIT                                                 1, Bukit Batok Central Link.                     #04-01 West Mall, Singapore 658713                                                          </v>
      </c>
      <c r="G11" s="470"/>
      <c r="H11" s="471"/>
      <c r="J11" s="69" t="s">
        <v>9</v>
      </c>
      <c r="K11" s="478">
        <v>45092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69" t="s">
        <v>127</v>
      </c>
      <c r="K12" s="482" t="s">
        <v>331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69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69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70" t="s">
        <v>11</v>
      </c>
      <c r="K15" s="495"/>
      <c r="L15" s="496"/>
    </row>
    <row r="16" spans="2:12" ht="19" thickBot="1" x14ac:dyDescent="0.5">
      <c r="J16" s="71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29"/>
      <c r="C18" s="212" t="s">
        <v>930</v>
      </c>
      <c r="D18" s="487" t="str">
        <f>VLOOKUP(C18,'Sales Master'!B$3:D$537,2,)</f>
        <v>Longan in Syrup 龙眼</v>
      </c>
      <c r="E18" s="487"/>
      <c r="F18" s="487"/>
      <c r="G18" s="17">
        <v>1</v>
      </c>
      <c r="H18" s="56" t="str">
        <f>VLOOKUP(C18,'Sales Master'!$B$3:$F$2488,5,0)</f>
        <v>(565gm x 12)/ Ctn箱</v>
      </c>
      <c r="I18" s="494" t="str">
        <f>VLOOKUP(C18,'Sales Master'!$B$3:$E$2488,4,0)</f>
        <v>YiFong</v>
      </c>
      <c r="J18" s="494"/>
      <c r="K18" s="30">
        <f>VLOOKUP(C18,'Sales Master'!B$3:AV$537,47,0)</f>
        <v>0</v>
      </c>
      <c r="L18" s="64">
        <f>K18*G18</f>
        <v>0</v>
      </c>
      <c r="M18" s="65"/>
      <c r="N18" s="145">
        <f>VLOOKUP(C18,'Sales Master'!$B$3:$DA$2279,104,0)</f>
        <v>19.534883720930232</v>
      </c>
      <c r="O18" s="145">
        <f>K18-N18</f>
        <v>-19.534883720930232</v>
      </c>
      <c r="P18" s="145">
        <f>O18*G18</f>
        <v>-19.534883720930232</v>
      </c>
      <c r="R18" s="19">
        <v>2</v>
      </c>
      <c r="S18" s="19" t="s">
        <v>200</v>
      </c>
      <c r="T18" s="19" t="s">
        <v>429</v>
      </c>
      <c r="V18" s="19">
        <v>32</v>
      </c>
    </row>
    <row r="19" spans="2:22" ht="20.149999999999999" customHeight="1" x14ac:dyDescent="0.45">
      <c r="B19" s="29"/>
      <c r="C19" s="17"/>
      <c r="D19" s="487"/>
      <c r="E19" s="487"/>
      <c r="F19" s="487"/>
      <c r="G19" s="17"/>
      <c r="H19" s="56"/>
      <c r="I19" s="494"/>
      <c r="J19" s="494"/>
      <c r="K19" s="30"/>
      <c r="L19" s="92"/>
      <c r="R19" s="19">
        <v>2</v>
      </c>
      <c r="S19" s="19" t="s">
        <v>326</v>
      </c>
    </row>
    <row r="20" spans="2:22" ht="20.149999999999999" customHeight="1" x14ac:dyDescent="0.45">
      <c r="B20" s="29"/>
      <c r="C20" s="17"/>
      <c r="D20" s="487"/>
      <c r="E20" s="487"/>
      <c r="F20" s="487"/>
      <c r="G20" s="17"/>
      <c r="H20" s="56"/>
      <c r="I20" s="494"/>
      <c r="J20" s="494"/>
      <c r="K20" s="30"/>
      <c r="L20" s="92"/>
      <c r="M20" s="65"/>
      <c r="R20" s="19">
        <v>1</v>
      </c>
      <c r="S20" s="19" t="s">
        <v>396</v>
      </c>
    </row>
    <row r="21" spans="2:22" ht="20.149999999999999" customHeight="1" x14ac:dyDescent="0.45">
      <c r="B21" s="29"/>
      <c r="C21" s="17"/>
      <c r="D21" s="487"/>
      <c r="E21" s="487"/>
      <c r="F21" s="487"/>
      <c r="G21" s="17"/>
      <c r="H21" s="56"/>
      <c r="I21" s="494"/>
      <c r="J21" s="494"/>
      <c r="K21" s="30"/>
      <c r="L21" s="92"/>
      <c r="M21" s="65"/>
      <c r="R21" s="19">
        <v>10</v>
      </c>
      <c r="S21" s="19" t="s">
        <v>197</v>
      </c>
      <c r="T21" s="19" t="s">
        <v>419</v>
      </c>
    </row>
    <row r="22" spans="2:22" ht="20.149999999999999" customHeight="1" x14ac:dyDescent="0.45">
      <c r="B22" s="66"/>
      <c r="C22" s="17"/>
      <c r="D22" s="487"/>
      <c r="E22" s="487"/>
      <c r="F22" s="487"/>
      <c r="G22" s="17"/>
      <c r="H22" s="56"/>
      <c r="I22" s="494"/>
      <c r="J22" s="494"/>
      <c r="K22" s="30"/>
      <c r="L22" s="92"/>
      <c r="M22" s="65"/>
      <c r="R22" s="19">
        <v>2</v>
      </c>
      <c r="S22" s="19" t="s">
        <v>52</v>
      </c>
    </row>
    <row r="23" spans="2:22" ht="20.149999999999999" customHeight="1" x14ac:dyDescent="0.45">
      <c r="B23" s="29"/>
      <c r="C23" s="17"/>
      <c r="D23" s="487"/>
      <c r="E23" s="487"/>
      <c r="F23" s="487"/>
      <c r="G23" s="17"/>
      <c r="H23" s="56"/>
      <c r="I23" s="494"/>
      <c r="J23" s="494"/>
      <c r="K23" s="30"/>
      <c r="L23" s="92"/>
      <c r="M23" s="65"/>
      <c r="R23" s="19">
        <v>1</v>
      </c>
      <c r="S23" s="19" t="s">
        <v>34</v>
      </c>
      <c r="T23" s="19" t="s">
        <v>449</v>
      </c>
    </row>
    <row r="24" spans="2:22" ht="20.149999999999999" customHeight="1" x14ac:dyDescent="0.45">
      <c r="B24" s="29"/>
      <c r="C24" s="17"/>
      <c r="D24" s="487"/>
      <c r="E24" s="487"/>
      <c r="F24" s="487"/>
      <c r="G24" s="17"/>
      <c r="H24" s="56"/>
      <c r="I24" s="494"/>
      <c r="J24" s="494"/>
      <c r="K24" s="30"/>
      <c r="L24" s="92"/>
      <c r="M24" s="65"/>
      <c r="R24" s="19">
        <v>1</v>
      </c>
      <c r="S24" s="19" t="s">
        <v>333</v>
      </c>
      <c r="T24" s="19" t="s">
        <v>332</v>
      </c>
    </row>
    <row r="25" spans="2:22" ht="20.149999999999999" customHeight="1" x14ac:dyDescent="0.45">
      <c r="B25" s="29"/>
      <c r="C25" s="17"/>
      <c r="D25" s="487"/>
      <c r="E25" s="487"/>
      <c r="F25" s="487"/>
      <c r="G25" s="17"/>
      <c r="H25" s="56"/>
      <c r="I25" s="494"/>
      <c r="J25" s="494"/>
      <c r="K25" s="30"/>
      <c r="L25" s="92"/>
      <c r="M25" s="65"/>
      <c r="R25" s="19">
        <v>1</v>
      </c>
    </row>
    <row r="26" spans="2:22" ht="20.149999999999999" customHeight="1" x14ac:dyDescent="0.45">
      <c r="B26" s="29"/>
      <c r="C26" s="17"/>
      <c r="D26" s="487"/>
      <c r="E26" s="487"/>
      <c r="F26" s="487"/>
      <c r="G26" s="17"/>
      <c r="H26" s="56"/>
      <c r="I26" s="494"/>
      <c r="J26" s="494"/>
      <c r="K26" s="30"/>
      <c r="L26" s="92"/>
      <c r="M26" s="65"/>
      <c r="R26" s="19">
        <v>1</v>
      </c>
      <c r="S26" s="19" t="s">
        <v>528</v>
      </c>
      <c r="T26" s="19" t="s">
        <v>369</v>
      </c>
      <c r="V26" s="19">
        <v>38</v>
      </c>
    </row>
    <row r="27" spans="2:22" ht="20.149999999999999" customHeight="1" x14ac:dyDescent="0.45">
      <c r="B27" s="29"/>
      <c r="C27" s="17"/>
      <c r="D27" s="487"/>
      <c r="E27" s="487"/>
      <c r="F27" s="487"/>
      <c r="G27" s="17"/>
      <c r="H27" s="56"/>
      <c r="I27" s="494"/>
      <c r="J27" s="494"/>
      <c r="K27" s="30"/>
      <c r="L27" s="92"/>
      <c r="M27" s="65"/>
    </row>
    <row r="28" spans="2:22" ht="20.149999999999999" customHeight="1" x14ac:dyDescent="0.45">
      <c r="B28" s="29"/>
      <c r="C28" s="17"/>
      <c r="D28" s="487"/>
      <c r="E28" s="487"/>
      <c r="F28" s="487"/>
      <c r="G28" s="17"/>
      <c r="H28" s="56"/>
      <c r="I28" s="494"/>
      <c r="J28" s="494"/>
      <c r="K28" s="30"/>
      <c r="L28" s="92"/>
      <c r="M28" s="65"/>
    </row>
    <row r="29" spans="2:22" ht="20.149999999999999" customHeight="1" x14ac:dyDescent="0.45">
      <c r="B29" s="29"/>
      <c r="C29" s="17"/>
      <c r="D29" s="487"/>
      <c r="E29" s="487"/>
      <c r="F29" s="487"/>
      <c r="G29" s="17"/>
      <c r="H29" s="56"/>
      <c r="I29" s="494"/>
      <c r="J29" s="494"/>
      <c r="K29" s="30"/>
      <c r="L29" s="92"/>
      <c r="M29" s="65"/>
    </row>
    <row r="30" spans="2:22" ht="20.149999999999999" customHeight="1" x14ac:dyDescent="0.45">
      <c r="B30" s="29"/>
      <c r="C30" s="17"/>
      <c r="D30" s="487"/>
      <c r="E30" s="487"/>
      <c r="F30" s="487"/>
      <c r="G30" s="17"/>
      <c r="H30" s="56"/>
      <c r="I30" s="494"/>
      <c r="J30" s="494"/>
      <c r="K30" s="30"/>
      <c r="L30" s="92"/>
    </row>
    <row r="31" spans="2:22" ht="20.149999999999999" customHeight="1" x14ac:dyDescent="0.45">
      <c r="B31" s="29"/>
      <c r="C31" s="17"/>
      <c r="D31" s="487"/>
      <c r="E31" s="487"/>
      <c r="F31" s="487"/>
      <c r="G31" s="17"/>
      <c r="H31" s="56"/>
      <c r="I31" s="494"/>
      <c r="J31" s="494"/>
      <c r="K31" s="30"/>
      <c r="L31" s="92"/>
      <c r="M31" s="65"/>
    </row>
    <row r="32" spans="2:22" ht="20.149999999999999" customHeight="1" x14ac:dyDescent="0.45">
      <c r="B32" s="29"/>
      <c r="C32" s="17"/>
      <c r="D32" s="487"/>
      <c r="E32" s="487"/>
      <c r="F32" s="487"/>
      <c r="G32" s="17"/>
      <c r="H32" s="56"/>
      <c r="I32" s="494"/>
      <c r="J32" s="494"/>
      <c r="K32" s="30"/>
      <c r="L32" s="92"/>
      <c r="M32" s="65"/>
    </row>
    <row r="33" spans="2:13" ht="20.149999999999999" customHeight="1" thickBot="1" x14ac:dyDescent="0.5">
      <c r="B33" s="32"/>
      <c r="C33" s="33"/>
      <c r="D33" s="488"/>
      <c r="E33" s="488"/>
      <c r="F33" s="488"/>
      <c r="G33" s="33"/>
      <c r="H33" s="57"/>
      <c r="I33" s="530"/>
      <c r="J33" s="530"/>
      <c r="K33" s="34"/>
      <c r="L33" s="75"/>
    </row>
    <row r="34" spans="2:13" ht="20.149999999999999" customHeight="1" thickBot="1" x14ac:dyDescent="0.5">
      <c r="B34" s="36"/>
      <c r="L34" s="37"/>
    </row>
    <row r="35" spans="2:13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72"/>
      <c r="J35" s="489" t="s">
        <v>13</v>
      </c>
      <c r="K35" s="490"/>
      <c r="L35" s="38">
        <f>SUM(L17:L32)</f>
        <v>0</v>
      </c>
      <c r="M35" s="63">
        <f>SUM(P18:P30)</f>
        <v>-19.534883720930232</v>
      </c>
    </row>
    <row r="36" spans="2:13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72"/>
      <c r="J36" s="39" t="s">
        <v>20</v>
      </c>
      <c r="K36" s="40"/>
      <c r="L36" s="41">
        <f>L35*K36</f>
        <v>0</v>
      </c>
    </row>
    <row r="37" spans="2:13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72"/>
      <c r="J37" s="491" t="s">
        <v>19</v>
      </c>
      <c r="K37" s="492"/>
      <c r="L37" s="41">
        <f>L35-L36</f>
        <v>0</v>
      </c>
    </row>
    <row r="38" spans="2:13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72"/>
      <c r="J38" s="102" t="s">
        <v>15</v>
      </c>
      <c r="K38" s="103">
        <f>'Sales Master'!$B$1</f>
        <v>0.09</v>
      </c>
      <c r="L38" s="42">
        <f>L37*K38</f>
        <v>0</v>
      </c>
    </row>
    <row r="39" spans="2:13" ht="20.149999999999999" customHeight="1" thickBot="1" x14ac:dyDescent="0.5">
      <c r="B39" s="10" t="s">
        <v>23</v>
      </c>
      <c r="C39" s="6"/>
      <c r="D39" s="6"/>
      <c r="E39" s="6"/>
      <c r="F39" s="6"/>
      <c r="G39" s="6"/>
      <c r="H39" s="6"/>
      <c r="I39" s="72"/>
      <c r="J39" s="485" t="s">
        <v>21</v>
      </c>
      <c r="K39" s="486"/>
      <c r="L39" s="43">
        <f>L37+L38</f>
        <v>0</v>
      </c>
    </row>
    <row r="40" spans="2:13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72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44"/>
      <c r="C45" s="45"/>
      <c r="D45" s="45"/>
      <c r="J45" s="73"/>
      <c r="K45" s="45"/>
      <c r="L45" s="46"/>
    </row>
    <row r="46" spans="2:13" ht="20.149999999999999" customHeight="1" x14ac:dyDescent="0.45">
      <c r="B46" s="36" t="s">
        <v>25</v>
      </c>
      <c r="J46" s="67" t="s">
        <v>26</v>
      </c>
      <c r="L46" s="37"/>
    </row>
    <row r="47" spans="2:13" ht="19" thickBot="1" x14ac:dyDescent="0.5">
      <c r="B47" s="47"/>
      <c r="C47" s="48"/>
      <c r="D47" s="48"/>
      <c r="E47" s="48"/>
      <c r="F47" s="48"/>
      <c r="G47" s="48"/>
      <c r="H47" s="48"/>
      <c r="I47" s="74"/>
      <c r="J47" s="74"/>
      <c r="K47" s="48"/>
      <c r="L47" s="49"/>
    </row>
  </sheetData>
  <mergeCells count="50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B15:D15"/>
    <mergeCell ref="J37:K37"/>
    <mergeCell ref="J39:K39"/>
    <mergeCell ref="D33:F33"/>
    <mergeCell ref="I33:J33"/>
    <mergeCell ref="J35:K35"/>
    <mergeCell ref="D31:F31"/>
    <mergeCell ref="I31:J31"/>
    <mergeCell ref="D32:F32"/>
    <mergeCell ref="I32:J32"/>
    <mergeCell ref="D28:F28"/>
    <mergeCell ref="I28:J28"/>
    <mergeCell ref="D29:F29"/>
    <mergeCell ref="I29:J29"/>
    <mergeCell ref="D30:F30"/>
    <mergeCell ref="I30:J30"/>
  </mergeCells>
  <pageMargins left="0.70866141732283505" right="0.31496062992126" top="0.41535433100000002" bottom="0" header="0.31496062992126" footer="0.31496062992126"/>
  <pageSetup paperSize="9" scale="76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40C94-5BA2-4D7B-AD1E-25DBD6B2F2AF}">
  <sheetPr codeName="Sheet135">
    <tabColor rgb="FFFFC000"/>
    <pageSetUpPr fitToPage="1"/>
  </sheetPr>
  <dimension ref="B1:W43"/>
  <sheetViews>
    <sheetView topLeftCell="A29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54296875" style="19" customWidth="1"/>
    <col min="9" max="9" width="1.45312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548</v>
      </c>
      <c r="J10" s="24" t="s">
        <v>27</v>
      </c>
      <c r="K10" s="464">
        <v>202411528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Koufu - Tim Sum                                             Blk 511 Canberra Road, #01-01 Sembawang Mart, Singapore 750511</v>
      </c>
      <c r="G11" s="470"/>
      <c r="H11" s="471"/>
      <c r="J11" s="26" t="s">
        <v>9</v>
      </c>
      <c r="K11" s="478">
        <v>45622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2192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2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7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3" ht="20.149999999999999" customHeight="1" x14ac:dyDescent="0.45">
      <c r="B18" s="29"/>
      <c r="C18" s="212" t="s">
        <v>966</v>
      </c>
      <c r="D18" s="487" t="str">
        <f>VLOOKUP(C18,'Sales Master'!B$3:D$537,2,)</f>
        <v>Coconut Milk 椰浆</v>
      </c>
      <c r="E18" s="487"/>
      <c r="F18" s="487"/>
      <c r="G18" s="17">
        <v>3</v>
      </c>
      <c r="H18" s="186" t="str">
        <f>VLOOKUP(C18,'Sales Master'!$B$3:$F$2488,5,0)</f>
        <v>(1L x 12bag)/箱</v>
      </c>
      <c r="I18" s="484" t="str">
        <f>VLOOKUP(C18,'Sales Master'!$B$3:$E$2488,4,0)</f>
        <v>Kara UHT</v>
      </c>
      <c r="J18" s="484"/>
      <c r="K18" s="30">
        <f>VLOOKUP(C18,'Sales Master'!B$3:J$537,9,0)</f>
        <v>54</v>
      </c>
      <c r="L18" s="64">
        <f>K18*G18</f>
        <v>162</v>
      </c>
      <c r="M18" s="65"/>
      <c r="N18" s="145">
        <f>VLOOKUP(C18,'Sales Master'!$B$3:$DA$2279,104,0)</f>
        <v>35.799999999999997</v>
      </c>
      <c r="O18" s="145">
        <f>K18-N18</f>
        <v>18.200000000000003</v>
      </c>
      <c r="P18" s="145">
        <f>O18*G18</f>
        <v>54.600000000000009</v>
      </c>
    </row>
    <row r="19" spans="2:23" ht="20.149999999999999" customHeight="1" x14ac:dyDescent="0.45">
      <c r="B19" s="29"/>
      <c r="C19" s="212"/>
      <c r="D19" s="487"/>
      <c r="E19" s="487"/>
      <c r="F19" s="487"/>
      <c r="G19" s="17"/>
      <c r="H19" s="186"/>
      <c r="I19" s="484"/>
      <c r="J19" s="484"/>
      <c r="K19" s="30"/>
      <c r="L19" s="64"/>
      <c r="M19" s="65"/>
      <c r="N19" s="145"/>
      <c r="O19" s="145"/>
      <c r="P19" s="145"/>
      <c r="R19" s="19">
        <v>1</v>
      </c>
      <c r="S19" s="19" t="s">
        <v>367</v>
      </c>
      <c r="T19" s="19" t="s">
        <v>431</v>
      </c>
      <c r="V19" s="19">
        <v>26</v>
      </c>
      <c r="W19" s="19">
        <v>26</v>
      </c>
    </row>
    <row r="20" spans="2:23" ht="20.149999999999999" customHeight="1" x14ac:dyDescent="0.45">
      <c r="B20" s="29"/>
      <c r="C20" s="212"/>
      <c r="D20" s="487"/>
      <c r="E20" s="487"/>
      <c r="F20" s="487"/>
      <c r="G20" s="17"/>
      <c r="H20" s="186"/>
      <c r="I20" s="484"/>
      <c r="J20" s="484"/>
      <c r="K20" s="30"/>
      <c r="L20" s="64"/>
      <c r="M20" s="65"/>
      <c r="N20" s="145"/>
      <c r="O20" s="145"/>
      <c r="P20" s="145"/>
      <c r="R20" s="19">
        <v>1</v>
      </c>
      <c r="S20" s="19" t="s">
        <v>367</v>
      </c>
      <c r="T20" s="19" t="s">
        <v>429</v>
      </c>
      <c r="V20" s="19">
        <v>32</v>
      </c>
      <c r="W20" s="19">
        <v>32</v>
      </c>
    </row>
    <row r="21" spans="2:23" ht="20.149999999999999" customHeight="1" x14ac:dyDescent="0.45">
      <c r="B21" s="29"/>
      <c r="C21" s="212"/>
      <c r="D21" s="487"/>
      <c r="E21" s="487"/>
      <c r="F21" s="487"/>
      <c r="G21" s="17"/>
      <c r="H21" s="186"/>
      <c r="I21" s="484"/>
      <c r="J21" s="484"/>
      <c r="K21" s="30"/>
      <c r="L21" s="64"/>
      <c r="M21" s="65"/>
      <c r="N21" s="145"/>
      <c r="O21" s="145"/>
      <c r="P21" s="145"/>
      <c r="R21" s="19">
        <v>1</v>
      </c>
      <c r="S21" s="19" t="s">
        <v>34</v>
      </c>
      <c r="T21" s="19" t="s">
        <v>79</v>
      </c>
      <c r="V21" s="19">
        <v>12</v>
      </c>
      <c r="W21" s="19">
        <v>12</v>
      </c>
    </row>
    <row r="22" spans="2:23" ht="20.149999999999999" customHeight="1" x14ac:dyDescent="0.45">
      <c r="B22" s="29"/>
      <c r="C22" s="212"/>
      <c r="D22" s="487"/>
      <c r="E22" s="487"/>
      <c r="F22" s="487"/>
      <c r="G22" s="17"/>
      <c r="H22" s="186"/>
      <c r="I22" s="484"/>
      <c r="J22" s="484"/>
      <c r="K22" s="30"/>
      <c r="L22" s="64"/>
      <c r="M22" s="65"/>
      <c r="N22" s="145"/>
      <c r="O22" s="145"/>
      <c r="P22" s="145"/>
      <c r="R22" s="19">
        <v>2</v>
      </c>
      <c r="S22" s="19" t="s">
        <v>54</v>
      </c>
      <c r="T22" s="19" t="s">
        <v>328</v>
      </c>
      <c r="V22" s="19">
        <v>9</v>
      </c>
      <c r="W22" s="19">
        <v>18</v>
      </c>
    </row>
    <row r="23" spans="2:23" ht="20.149999999999999" customHeight="1" x14ac:dyDescent="0.45">
      <c r="B23" s="29"/>
      <c r="C23" s="212"/>
      <c r="D23" s="487"/>
      <c r="E23" s="487"/>
      <c r="F23" s="487"/>
      <c r="G23" s="17"/>
      <c r="H23" s="186"/>
      <c r="I23" s="484"/>
      <c r="J23" s="484"/>
      <c r="K23" s="30"/>
      <c r="L23" s="64"/>
      <c r="M23" s="65"/>
      <c r="N23" s="145"/>
      <c r="O23" s="145"/>
      <c r="P23" s="145"/>
      <c r="R23" s="19">
        <v>1</v>
      </c>
      <c r="S23" s="19" t="s">
        <v>34</v>
      </c>
      <c r="T23" s="19" t="s">
        <v>59</v>
      </c>
      <c r="V23" s="19">
        <v>6</v>
      </c>
      <c r="W23" s="19">
        <v>12</v>
      </c>
    </row>
    <row r="24" spans="2:23" ht="20.149999999999999" customHeight="1" x14ac:dyDescent="0.45">
      <c r="B24" s="29"/>
      <c r="C24" s="17"/>
      <c r="D24" s="487"/>
      <c r="E24" s="487"/>
      <c r="F24" s="487"/>
      <c r="G24" s="17"/>
      <c r="H24" s="56"/>
      <c r="I24" s="458"/>
      <c r="J24" s="458"/>
      <c r="K24" s="30"/>
      <c r="L24" s="64"/>
      <c r="M24" s="65"/>
      <c r="R24" s="19">
        <v>20</v>
      </c>
      <c r="S24" s="19" t="s">
        <v>34</v>
      </c>
      <c r="T24" s="19" t="s">
        <v>32</v>
      </c>
      <c r="V24" s="19">
        <v>1.8</v>
      </c>
      <c r="W24" s="19">
        <v>36</v>
      </c>
    </row>
    <row r="25" spans="2:23" ht="20.149999999999999" customHeight="1" x14ac:dyDescent="0.45">
      <c r="B25" s="29"/>
      <c r="C25" s="17"/>
      <c r="D25" s="487"/>
      <c r="E25" s="487"/>
      <c r="F25" s="487"/>
      <c r="G25" s="17"/>
      <c r="H25" s="56"/>
      <c r="I25" s="458"/>
      <c r="J25" s="458"/>
      <c r="K25" s="30"/>
      <c r="L25" s="64"/>
      <c r="M25" s="65"/>
    </row>
    <row r="26" spans="2:23" ht="20.149999999999999" customHeight="1" x14ac:dyDescent="0.45">
      <c r="B26" s="29"/>
      <c r="C26" s="17"/>
      <c r="D26" s="487"/>
      <c r="E26" s="487"/>
      <c r="F26" s="487"/>
      <c r="G26" s="17"/>
      <c r="H26" s="56"/>
      <c r="I26" s="458"/>
      <c r="J26" s="458"/>
      <c r="K26" s="30"/>
      <c r="L26" s="64"/>
      <c r="M26" s="65"/>
    </row>
    <row r="27" spans="2:23" ht="20.149999999999999" customHeight="1" x14ac:dyDescent="0.45">
      <c r="B27" s="29"/>
      <c r="C27" s="17"/>
      <c r="D27" s="487"/>
      <c r="E27" s="487"/>
      <c r="F27" s="487"/>
      <c r="G27" s="17"/>
      <c r="H27" s="56"/>
      <c r="I27" s="458"/>
      <c r="J27" s="458"/>
      <c r="K27" s="30"/>
      <c r="L27" s="64"/>
      <c r="M27" s="65"/>
    </row>
    <row r="28" spans="2:23" ht="20.149999999999999" customHeight="1" x14ac:dyDescent="0.45">
      <c r="B28" s="29"/>
      <c r="C28" s="17"/>
      <c r="D28" s="487"/>
      <c r="E28" s="487"/>
      <c r="F28" s="487"/>
      <c r="G28" s="17"/>
      <c r="H28" s="56"/>
      <c r="I28" s="458"/>
      <c r="J28" s="458"/>
      <c r="K28" s="30"/>
      <c r="L28" s="31"/>
    </row>
    <row r="29" spans="2:23" ht="20.149999999999999" customHeight="1" thickBot="1" x14ac:dyDescent="0.5">
      <c r="B29" s="32"/>
      <c r="C29" s="33"/>
      <c r="D29" s="488"/>
      <c r="E29" s="488"/>
      <c r="F29" s="488"/>
      <c r="G29" s="33"/>
      <c r="H29" s="57"/>
      <c r="I29" s="459"/>
      <c r="J29" s="459"/>
      <c r="K29" s="34"/>
      <c r="L29" s="35"/>
    </row>
    <row r="30" spans="2:23" ht="20.149999999999999" customHeight="1" thickBot="1" x14ac:dyDescent="0.5">
      <c r="B30" s="36"/>
      <c r="L30" s="37"/>
    </row>
    <row r="31" spans="2:2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89" t="s">
        <v>13</v>
      </c>
      <c r="K31" s="490"/>
      <c r="L31" s="38">
        <f>SUM(L17:L29)</f>
        <v>162</v>
      </c>
      <c r="M31" s="63">
        <f>SUM(P18:P29)-L31*0.02</f>
        <v>51.360000000000007</v>
      </c>
      <c r="N31" s="133">
        <f>M31/L31</f>
        <v>0.31703703703703706</v>
      </c>
    </row>
    <row r="32" spans="2:2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91" t="s">
        <v>19</v>
      </c>
      <c r="K33" s="492"/>
      <c r="L33" s="41">
        <f>L31-L32</f>
        <v>162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14.58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85" t="s">
        <v>21</v>
      </c>
      <c r="K35" s="486"/>
      <c r="L35" s="43">
        <f>L33+L34</f>
        <v>176.58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2">
    <mergeCell ref="D26:F26"/>
    <mergeCell ref="I26:J26"/>
    <mergeCell ref="D27:F27"/>
    <mergeCell ref="I27:J27"/>
    <mergeCell ref="J35:K35"/>
    <mergeCell ref="D28:F28"/>
    <mergeCell ref="I28:J28"/>
    <mergeCell ref="D29:F29"/>
    <mergeCell ref="I29:J29"/>
    <mergeCell ref="J31:K31"/>
    <mergeCell ref="J33:K33"/>
    <mergeCell ref="D23:F23"/>
    <mergeCell ref="I23:J23"/>
    <mergeCell ref="D24:F24"/>
    <mergeCell ref="I24:J24"/>
    <mergeCell ref="D25:F25"/>
    <mergeCell ref="I25:J25"/>
    <mergeCell ref="I17:J17"/>
    <mergeCell ref="D22:F22"/>
    <mergeCell ref="I22:J22"/>
    <mergeCell ref="D20:F20"/>
    <mergeCell ref="I20:J20"/>
    <mergeCell ref="D18:F18"/>
    <mergeCell ref="I18:J18"/>
    <mergeCell ref="D17:F17"/>
    <mergeCell ref="D19:F19"/>
    <mergeCell ref="I19:J19"/>
    <mergeCell ref="D21:F21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7C33D-C211-4A3B-ADF2-B9ABC6ABCEA6}">
  <sheetPr codeName="Sheet67">
    <tabColor rgb="FF7030A0"/>
    <pageSetUpPr fitToPage="1"/>
  </sheetPr>
  <dimension ref="B1:V45"/>
  <sheetViews>
    <sheetView topLeftCell="A11" workbookViewId="0">
      <selection activeCell="H18" sqref="H18:L18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7.1796875" style="19" customWidth="1"/>
    <col min="7" max="7" width="8.54296875" style="19" customWidth="1"/>
    <col min="8" max="8" width="15.54296875" style="19" customWidth="1"/>
    <col min="9" max="9" width="2.179687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551</v>
      </c>
      <c r="J10" s="68" t="s">
        <v>27</v>
      </c>
      <c r="K10" s="464">
        <v>202301040</v>
      </c>
      <c r="L10" s="465"/>
    </row>
    <row r="11" spans="2:12" ht="20.149999999999999" customHeight="1" x14ac:dyDescent="0.45">
      <c r="B11" s="466"/>
      <c r="C11" s="467"/>
      <c r="D11" s="468"/>
      <c r="E11" s="25"/>
      <c r="F11" s="469" t="str">
        <f>VLOOKUP(H10,'Delivery Location'!A$4:N$466,2,0)</f>
        <v>IVY LIM 94881981                                                          50-A Lorong Marican Singapore 417233</v>
      </c>
      <c r="G11" s="470"/>
      <c r="H11" s="471"/>
      <c r="J11" s="69" t="s">
        <v>9</v>
      </c>
      <c r="K11" s="478">
        <v>44930</v>
      </c>
      <c r="L11" s="479"/>
    </row>
    <row r="12" spans="2:12" ht="20.149999999999999" customHeight="1" x14ac:dyDescent="0.45">
      <c r="B12" s="480"/>
      <c r="C12" s="453"/>
      <c r="D12" s="481"/>
      <c r="E12" s="25"/>
      <c r="F12" s="472"/>
      <c r="G12" s="473"/>
      <c r="H12" s="474"/>
      <c r="J12" s="69" t="s">
        <v>127</v>
      </c>
      <c r="K12" s="482" t="s">
        <v>331</v>
      </c>
      <c r="L12" s="483"/>
    </row>
    <row r="13" spans="2:12" ht="20.149999999999999" customHeight="1" x14ac:dyDescent="0.45">
      <c r="B13" s="480"/>
      <c r="C13" s="453"/>
      <c r="D13" s="481"/>
      <c r="E13" s="25"/>
      <c r="F13" s="472"/>
      <c r="G13" s="473"/>
      <c r="H13" s="474"/>
      <c r="J13" s="69" t="s">
        <v>10</v>
      </c>
      <c r="K13" s="482" t="s">
        <v>421</v>
      </c>
      <c r="L13" s="483"/>
    </row>
    <row r="14" spans="2:12" ht="20.149999999999999" customHeight="1" x14ac:dyDescent="0.45">
      <c r="B14" s="480"/>
      <c r="C14" s="453"/>
      <c r="D14" s="481"/>
      <c r="E14" s="25"/>
      <c r="F14" s="472"/>
      <c r="G14" s="473"/>
      <c r="H14" s="474"/>
      <c r="J14" s="69" t="s">
        <v>28</v>
      </c>
      <c r="K14" s="482" t="s">
        <v>14</v>
      </c>
      <c r="L14" s="483"/>
    </row>
    <row r="15" spans="2:12" ht="18" customHeight="1" thickBot="1" x14ac:dyDescent="0.5">
      <c r="B15" s="50"/>
      <c r="C15" s="51"/>
      <c r="D15" s="52"/>
      <c r="E15" s="21"/>
      <c r="F15" s="475"/>
      <c r="G15" s="476"/>
      <c r="H15" s="477"/>
      <c r="J15" s="70" t="s">
        <v>11</v>
      </c>
      <c r="K15" s="495"/>
      <c r="L15" s="496"/>
    </row>
    <row r="16" spans="2:12" ht="19" thickBot="1" x14ac:dyDescent="0.5">
      <c r="J16" s="71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29"/>
      <c r="C18" s="17" t="s">
        <v>745</v>
      </c>
      <c r="D18" s="487" t="str">
        <f>VLOOKUP(C18,'Sales Master'!B$3:D$537,2,)</f>
        <v>Jelly Powder 文头雪粉 (Carrageenan)</v>
      </c>
      <c r="E18" s="487"/>
      <c r="F18" s="487"/>
      <c r="G18" s="17">
        <v>2</v>
      </c>
      <c r="H18" s="188" t="str">
        <f>VLOOKUP(C18,'Sales Master'!$B$3:$F$537,5,0)</f>
        <v>42gm x 10PKT/Bag</v>
      </c>
      <c r="I18" s="484" t="str">
        <f>VLOOKUP(C18,'Sales Master'!$B$3:$E$537,4,0)</f>
        <v>500/4000</v>
      </c>
      <c r="J18" s="484"/>
      <c r="K18" s="83">
        <f>VLOOKUP(C18,'Sales Master'!$B$3:$BK$2402,62,0)</f>
        <v>30</v>
      </c>
      <c r="L18" s="64">
        <f>K18*G18</f>
        <v>60</v>
      </c>
      <c r="M18" s="65"/>
      <c r="N18" s="145">
        <f>VLOOKUP(C18,'Sales Master'!$B$3:$DA$2279,104,0)</f>
        <v>1.9530000000000003</v>
      </c>
      <c r="O18" s="145">
        <f>K18-N18</f>
        <v>28.047000000000001</v>
      </c>
      <c r="P18" s="145">
        <f>O18*G18</f>
        <v>56.094000000000001</v>
      </c>
      <c r="R18" s="19">
        <v>2</v>
      </c>
      <c r="S18" s="19" t="s">
        <v>200</v>
      </c>
      <c r="T18" s="19" t="s">
        <v>429</v>
      </c>
      <c r="V18" s="19">
        <v>32</v>
      </c>
    </row>
    <row r="19" spans="2:22" ht="20.149999999999999" customHeight="1" x14ac:dyDescent="0.45">
      <c r="B19" s="29"/>
      <c r="C19" s="17" t="s">
        <v>768</v>
      </c>
      <c r="D19" s="487" t="str">
        <f>VLOOKUP(C19,'Sales Master'!B$3:D$537,2,)</f>
        <v>Herbal Jelly Powder 龟苓膏粉</v>
      </c>
      <c r="E19" s="487"/>
      <c r="F19" s="487"/>
      <c r="G19" s="17">
        <v>2</v>
      </c>
      <c r="H19" s="186" t="str">
        <f>VLOOKUP(C19,'Sales Master'!$B$3:$F$537,5,0)</f>
        <v>500 GM/BAG</v>
      </c>
      <c r="I19" s="484" t="str">
        <f>VLOOKUP(C19,'Sales Master'!$B$3:$E$537,4,0)</f>
        <v>-</v>
      </c>
      <c r="J19" s="484"/>
      <c r="K19" s="83">
        <f>VLOOKUP(C19,'Sales Master'!$B$3:$BK$2402,62,0)</f>
        <v>10</v>
      </c>
      <c r="L19" s="64">
        <f>K19*G19</f>
        <v>20</v>
      </c>
      <c r="N19" s="145">
        <f>VLOOKUP(C19,'Sales Master'!$B$3:$DA$2279,104,0)</f>
        <v>3.9</v>
      </c>
      <c r="O19" s="145">
        <f>K19-N19</f>
        <v>6.1</v>
      </c>
      <c r="P19" s="145">
        <f>O19*G19</f>
        <v>12.2</v>
      </c>
      <c r="R19" s="19">
        <v>2</v>
      </c>
      <c r="S19" s="19" t="s">
        <v>326</v>
      </c>
    </row>
    <row r="20" spans="2:22" ht="20.149999999999999" customHeight="1" x14ac:dyDescent="0.45">
      <c r="B20" s="29"/>
      <c r="C20" s="17" t="s">
        <v>804</v>
      </c>
      <c r="D20" s="487" t="str">
        <f>VLOOKUP(C20,'Sales Master'!B$3:D$537,2,)</f>
        <v>Atap Seeds in Syrup 亚嗒子</v>
      </c>
      <c r="E20" s="487"/>
      <c r="F20" s="487"/>
      <c r="G20" s="17">
        <v>1</v>
      </c>
      <c r="H20" s="186" t="str">
        <f>VLOOKUP(C20,'Sales Master'!$B$3:$F$537,5,0)</f>
        <v>NW(2.1:0.9) 3kg/ Bag包</v>
      </c>
      <c r="I20" s="484" t="str">
        <f>VLOOKUP(C20,'Sales Master'!$B$3:$E$537,4,0)</f>
        <v>DO!</v>
      </c>
      <c r="J20" s="484"/>
      <c r="K20" s="83">
        <f>VLOOKUP(C20,'Sales Master'!$B$3:$BK$2402,62,0)</f>
        <v>13</v>
      </c>
      <c r="L20" s="64">
        <f>K20*G20</f>
        <v>13</v>
      </c>
      <c r="M20" s="65"/>
      <c r="N20" s="145">
        <f>VLOOKUP(C20,'Sales Master'!$B$3:$DA$2279,104,0)</f>
        <v>9.6</v>
      </c>
      <c r="O20" s="145">
        <f>K20-N20</f>
        <v>3.4000000000000004</v>
      </c>
      <c r="P20" s="145">
        <f>O20*G20</f>
        <v>3.4000000000000004</v>
      </c>
      <c r="R20" s="19">
        <v>1</v>
      </c>
      <c r="S20" s="19" t="s">
        <v>396</v>
      </c>
    </row>
    <row r="21" spans="2:22" ht="20.149999999999999" customHeight="1" x14ac:dyDescent="0.45">
      <c r="B21" s="29"/>
      <c r="C21" s="17"/>
      <c r="D21" s="487"/>
      <c r="E21" s="487"/>
      <c r="F21" s="487"/>
      <c r="G21" s="17"/>
      <c r="H21" s="56"/>
      <c r="I21" s="494"/>
      <c r="J21" s="494"/>
      <c r="K21" s="231"/>
      <c r="L21" s="64"/>
      <c r="M21" s="65"/>
      <c r="R21" s="19">
        <v>10</v>
      </c>
      <c r="S21" s="19" t="s">
        <v>197</v>
      </c>
      <c r="T21" s="19" t="s">
        <v>419</v>
      </c>
    </row>
    <row r="22" spans="2:22" ht="20.149999999999999" customHeight="1" x14ac:dyDescent="0.45">
      <c r="B22" s="66"/>
      <c r="C22" s="17"/>
      <c r="D22" s="487"/>
      <c r="E22" s="487"/>
      <c r="F22" s="487"/>
      <c r="G22" s="17"/>
      <c r="H22" s="56"/>
      <c r="I22" s="494"/>
      <c r="J22" s="494"/>
      <c r="K22" s="231"/>
      <c r="L22" s="64"/>
      <c r="M22" s="65"/>
      <c r="R22" s="19">
        <v>2</v>
      </c>
      <c r="S22" s="19" t="s">
        <v>52</v>
      </c>
    </row>
    <row r="23" spans="2:22" ht="20.149999999999999" customHeight="1" x14ac:dyDescent="0.45">
      <c r="B23" s="29"/>
      <c r="C23" s="17"/>
      <c r="D23" s="487"/>
      <c r="E23" s="487"/>
      <c r="F23" s="487"/>
      <c r="G23" s="17"/>
      <c r="H23" s="56"/>
      <c r="I23" s="538" t="s">
        <v>1426</v>
      </c>
      <c r="J23" s="538"/>
      <c r="K23" s="538"/>
      <c r="L23" s="64">
        <v>20</v>
      </c>
      <c r="M23" s="65"/>
      <c r="R23" s="19">
        <v>1</v>
      </c>
      <c r="S23" s="19" t="s">
        <v>34</v>
      </c>
      <c r="T23" s="19" t="s">
        <v>449</v>
      </c>
    </row>
    <row r="24" spans="2:22" ht="20.149999999999999" customHeight="1" x14ac:dyDescent="0.45">
      <c r="B24" s="29"/>
      <c r="C24" s="17"/>
      <c r="D24" s="487"/>
      <c r="E24" s="487"/>
      <c r="F24" s="487"/>
      <c r="G24" s="17"/>
      <c r="H24" s="56"/>
      <c r="I24" s="494"/>
      <c r="J24" s="494"/>
      <c r="K24" s="83"/>
      <c r="L24" s="64"/>
      <c r="M24" s="65"/>
      <c r="R24" s="19">
        <v>1</v>
      </c>
      <c r="S24" s="19" t="s">
        <v>333</v>
      </c>
      <c r="T24" s="19" t="s">
        <v>332</v>
      </c>
    </row>
    <row r="25" spans="2:22" ht="20.149999999999999" customHeight="1" x14ac:dyDescent="0.45">
      <c r="B25" s="29"/>
      <c r="C25" s="18" t="s">
        <v>1218</v>
      </c>
      <c r="G25" s="17"/>
      <c r="H25" s="56"/>
      <c r="I25" s="85"/>
      <c r="J25" s="85"/>
      <c r="K25" s="30"/>
      <c r="L25" s="92"/>
      <c r="M25" s="65"/>
      <c r="R25" s="19">
        <v>1</v>
      </c>
    </row>
    <row r="26" spans="2:22" ht="20.149999999999999" customHeight="1" x14ac:dyDescent="0.45">
      <c r="B26" s="29"/>
      <c r="C26" s="147" t="s">
        <v>1424</v>
      </c>
      <c r="G26" s="17"/>
      <c r="H26" s="56"/>
      <c r="I26" s="85"/>
      <c r="J26" s="85"/>
      <c r="K26" s="30"/>
      <c r="L26" s="92"/>
      <c r="M26" s="65"/>
    </row>
    <row r="27" spans="2:22" ht="20.149999999999999" customHeight="1" x14ac:dyDescent="0.45">
      <c r="B27" s="29"/>
      <c r="C27" s="147" t="s">
        <v>1425</v>
      </c>
      <c r="G27" s="17"/>
      <c r="H27" s="56"/>
      <c r="I27" s="85"/>
      <c r="J27" s="85"/>
      <c r="K27" s="30"/>
      <c r="L27" s="92"/>
    </row>
    <row r="28" spans="2:22" ht="20.149999999999999" customHeight="1" x14ac:dyDescent="0.45">
      <c r="B28" s="29"/>
      <c r="C28" s="17"/>
      <c r="D28" s="487"/>
      <c r="E28" s="487"/>
      <c r="F28" s="487"/>
      <c r="G28" s="17"/>
      <c r="H28" s="56"/>
      <c r="I28" s="494"/>
      <c r="J28" s="494"/>
      <c r="K28" s="30"/>
      <c r="L28" s="92"/>
    </row>
    <row r="29" spans="2:22" ht="20.149999999999999" customHeight="1" x14ac:dyDescent="0.45">
      <c r="B29" s="29"/>
      <c r="C29" s="17"/>
      <c r="D29" s="487"/>
      <c r="E29" s="487"/>
      <c r="F29" s="487"/>
      <c r="G29" s="17"/>
      <c r="H29" s="56"/>
      <c r="I29" s="494"/>
      <c r="J29" s="494"/>
      <c r="K29" s="30"/>
      <c r="L29" s="92"/>
      <c r="M29" s="65"/>
    </row>
    <row r="30" spans="2:22" ht="20.149999999999999" customHeight="1" x14ac:dyDescent="0.45">
      <c r="B30" s="29"/>
      <c r="C30" s="17"/>
      <c r="D30" s="487"/>
      <c r="E30" s="487"/>
      <c r="F30" s="487"/>
      <c r="G30" s="17"/>
      <c r="H30" s="56"/>
      <c r="I30" s="494"/>
      <c r="J30" s="494"/>
      <c r="K30" s="30"/>
      <c r="L30" s="92"/>
    </row>
    <row r="31" spans="2:22" ht="20.149999999999999" customHeight="1" thickBot="1" x14ac:dyDescent="0.5">
      <c r="B31" s="32"/>
      <c r="C31" s="33"/>
      <c r="D31" s="488"/>
      <c r="E31" s="488"/>
      <c r="F31" s="488"/>
      <c r="G31" s="33"/>
      <c r="H31" s="57"/>
      <c r="I31" s="530"/>
      <c r="J31" s="530"/>
      <c r="K31" s="34"/>
      <c r="L31" s="75"/>
    </row>
    <row r="32" spans="2:22" ht="20.149999999999999" customHeight="1" thickBot="1" x14ac:dyDescent="0.5">
      <c r="B32" s="36"/>
      <c r="L32" s="37"/>
    </row>
    <row r="33" spans="2:13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72"/>
      <c r="J33" s="489" t="s">
        <v>13</v>
      </c>
      <c r="K33" s="490"/>
      <c r="L33" s="38">
        <f>SUM(L18:L32)</f>
        <v>113</v>
      </c>
      <c r="M33" s="63">
        <f>SUM(P18:P31)</f>
        <v>71.694000000000003</v>
      </c>
    </row>
    <row r="34" spans="2:13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72"/>
      <c r="J34" s="39" t="s">
        <v>20</v>
      </c>
      <c r="K34" s="40"/>
      <c r="L34" s="41">
        <f>L36</f>
        <v>9.4166666666666661</v>
      </c>
    </row>
    <row r="35" spans="2:13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72"/>
      <c r="J35" s="491" t="s">
        <v>19</v>
      </c>
      <c r="K35" s="492"/>
      <c r="L35" s="41">
        <f>L33/108*100</f>
        <v>104.62962962962963</v>
      </c>
    </row>
    <row r="36" spans="2:13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72"/>
      <c r="J36" s="102" t="s">
        <v>15</v>
      </c>
      <c r="K36" s="103">
        <f>'Sales Master'!$B$1</f>
        <v>0.09</v>
      </c>
      <c r="L36" s="42">
        <f>L35*K36</f>
        <v>9.4166666666666661</v>
      </c>
    </row>
    <row r="37" spans="2:13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72"/>
      <c r="J37" s="485" t="s">
        <v>21</v>
      </c>
      <c r="K37" s="486"/>
      <c r="L37" s="43">
        <f>L35+L36</f>
        <v>114.0462962962963</v>
      </c>
    </row>
    <row r="38" spans="2:13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72"/>
      <c r="L38" s="37"/>
    </row>
    <row r="39" spans="2:13" ht="20.149999999999999" customHeight="1" x14ac:dyDescent="0.45">
      <c r="B39" s="36"/>
      <c r="L39" s="37"/>
    </row>
    <row r="40" spans="2:13" ht="20.149999999999999" customHeight="1" x14ac:dyDescent="0.45">
      <c r="B40" s="3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44"/>
      <c r="C43" s="45"/>
      <c r="D43" s="45"/>
      <c r="J43" s="73"/>
      <c r="K43" s="45"/>
      <c r="L43" s="46"/>
    </row>
    <row r="44" spans="2:13" ht="20.149999999999999" customHeight="1" x14ac:dyDescent="0.45">
      <c r="B44" s="36" t="s">
        <v>25</v>
      </c>
      <c r="J44" s="67" t="s">
        <v>26</v>
      </c>
      <c r="L44" s="37"/>
    </row>
    <row r="45" spans="2:13" ht="19" thickBot="1" x14ac:dyDescent="0.5">
      <c r="B45" s="47"/>
      <c r="C45" s="48"/>
      <c r="D45" s="48"/>
      <c r="E45" s="48"/>
      <c r="F45" s="48"/>
      <c r="G45" s="48"/>
      <c r="H45" s="48"/>
      <c r="I45" s="74"/>
      <c r="J45" s="74"/>
      <c r="K45" s="48"/>
      <c r="L45" s="49"/>
    </row>
  </sheetData>
  <mergeCells count="39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D24:F24"/>
    <mergeCell ref="I24:J24"/>
    <mergeCell ref="I23:K23"/>
    <mergeCell ref="D29:F29"/>
    <mergeCell ref="I29:J29"/>
    <mergeCell ref="D28:F28"/>
    <mergeCell ref="I28:J28"/>
    <mergeCell ref="J35:K35"/>
    <mergeCell ref="J37:K37"/>
    <mergeCell ref="D30:F30"/>
    <mergeCell ref="I30:J30"/>
    <mergeCell ref="D31:F31"/>
    <mergeCell ref="I31:J31"/>
    <mergeCell ref="J33:K33"/>
  </mergeCells>
  <pageMargins left="0.7" right="0.3" top="0.25" bottom="0.25" header="0.31496062992126" footer="0.31496062992126"/>
  <pageSetup paperSize="9" scale="76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ED881-6280-44D9-89EB-FB0415056E97}">
  <sheetPr codeName="Sheet154">
    <tabColor rgb="FF7030A0"/>
    <pageSetUpPr fitToPage="1"/>
  </sheetPr>
  <dimension ref="B1:P46"/>
  <sheetViews>
    <sheetView topLeftCell="A29" zoomScaleNormal="100" workbookViewId="0">
      <selection activeCell="B1" sqref="B1:L4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554</v>
      </c>
      <c r="J10" s="24" t="s">
        <v>27</v>
      </c>
      <c r="K10" s="464">
        <v>202504223</v>
      </c>
      <c r="L10" s="465"/>
    </row>
    <row r="11" spans="2:12" ht="20.149999999999999" customHeight="1" x14ac:dyDescent="0.45">
      <c r="B11" s="466" t="s">
        <v>555</v>
      </c>
      <c r="C11" s="467"/>
      <c r="D11" s="468"/>
      <c r="E11" s="25"/>
      <c r="F11" s="469" t="str">
        <f>VLOOKUP(H10,'Delivery Location'!A$4:N$466,2,0)</f>
        <v>Fine Food @The South Spine                    50, Nanyang Avenue South Spine Food Court Canteen B, Singapore 639798</v>
      </c>
      <c r="G11" s="470"/>
      <c r="H11" s="471"/>
      <c r="J11" s="26" t="s">
        <v>9</v>
      </c>
      <c r="K11" s="478">
        <v>45756</v>
      </c>
      <c r="L11" s="479"/>
    </row>
    <row r="12" spans="2:12" ht="20.149999999999999" customHeight="1" x14ac:dyDescent="0.45">
      <c r="B12" s="480" t="s">
        <v>355</v>
      </c>
      <c r="C12" s="453"/>
      <c r="D12" s="481"/>
      <c r="E12" s="25"/>
      <c r="F12" s="472"/>
      <c r="G12" s="473"/>
      <c r="H12" s="474"/>
      <c r="J12" s="26" t="s">
        <v>127</v>
      </c>
      <c r="K12" s="577" t="s">
        <v>2275</v>
      </c>
      <c r="L12" s="578"/>
    </row>
    <row r="13" spans="2:12" ht="20.149999999999999" customHeight="1" x14ac:dyDescent="0.45">
      <c r="B13" s="480" t="s">
        <v>356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357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69" t="s">
        <v>358</v>
      </c>
      <c r="C15" s="570"/>
      <c r="D15" s="571"/>
      <c r="E15" s="21"/>
      <c r="F15" s="475"/>
      <c r="G15" s="476"/>
      <c r="H15" s="477"/>
      <c r="J15" s="27" t="s">
        <v>11</v>
      </c>
      <c r="K15" s="495" t="s">
        <v>1450</v>
      </c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703</v>
      </c>
      <c r="D18" s="487" t="str">
        <f>VLOOKUP(C18,'Sales Master'!B$3:D$537,2,)</f>
        <v>Mango Puree 芒果酱</v>
      </c>
      <c r="E18" s="487"/>
      <c r="F18" s="487"/>
      <c r="G18" s="76">
        <v>20</v>
      </c>
      <c r="H18" s="186" t="str">
        <f>VLOOKUP(C18,'Sales Master'!$B$3:$F$2488,5,0)</f>
        <v>1 KG/ Box盒</v>
      </c>
      <c r="I18" s="519" t="str">
        <f>VLOOKUP(C18,'Sales Master'!$B$3:$E$2488,4,0)</f>
        <v>DO!</v>
      </c>
      <c r="J18" s="519"/>
      <c r="K18" s="80">
        <f>VLOOKUP(C18,'Sales Master'!B$3:Q$2301,16,0)</f>
        <v>8</v>
      </c>
      <c r="L18" s="64">
        <f>K18*G18</f>
        <v>160</v>
      </c>
      <c r="M18" s="65"/>
      <c r="N18" s="145">
        <f>VLOOKUP(C18,'Sales Master'!$B$3:$DA$2279,104,0)</f>
        <v>2.15</v>
      </c>
      <c r="O18" s="145">
        <f>K18-N18</f>
        <v>5.85</v>
      </c>
      <c r="P18" s="145">
        <f>O18*G18</f>
        <v>117</v>
      </c>
    </row>
    <row r="19" spans="2:16" ht="20.149999999999999" customHeight="1" x14ac:dyDescent="0.45">
      <c r="B19" s="29"/>
      <c r="C19" s="212"/>
      <c r="D19" s="487"/>
      <c r="E19" s="487"/>
      <c r="F19" s="487"/>
      <c r="G19" s="76"/>
      <c r="H19" s="186"/>
      <c r="I19" s="519"/>
      <c r="J19" s="519"/>
      <c r="K19" s="8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212"/>
      <c r="D20" s="487"/>
      <c r="E20" s="487"/>
      <c r="F20" s="487"/>
      <c r="G20" s="76"/>
      <c r="H20" s="186"/>
      <c r="I20" s="519"/>
      <c r="J20" s="519"/>
      <c r="K20" s="8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2"/>
      <c r="D21" s="487"/>
      <c r="E21" s="487"/>
      <c r="F21" s="487"/>
      <c r="G21" s="76"/>
      <c r="H21" s="186"/>
      <c r="I21" s="519"/>
      <c r="J21" s="519"/>
      <c r="K21" s="8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44"/>
      <c r="D22" s="487"/>
      <c r="E22" s="487"/>
      <c r="F22" s="487"/>
      <c r="G22" s="76"/>
      <c r="H22" s="186"/>
      <c r="I22" s="519"/>
      <c r="J22" s="519"/>
      <c r="K22" s="8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44"/>
      <c r="D23" s="487"/>
      <c r="E23" s="487"/>
      <c r="F23" s="487"/>
      <c r="G23" s="76"/>
      <c r="H23" s="186"/>
      <c r="I23" s="519"/>
      <c r="J23" s="519"/>
      <c r="K23" s="8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95"/>
      <c r="G24" s="76"/>
      <c r="H24" s="186"/>
      <c r="I24" s="186"/>
      <c r="J24" s="186"/>
      <c r="K24" s="8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95"/>
      <c r="G25" s="76"/>
      <c r="H25" s="186"/>
      <c r="I25" s="186"/>
      <c r="J25" s="186"/>
      <c r="K25" s="8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06"/>
      <c r="D26" s="65"/>
      <c r="E26" s="65"/>
      <c r="F26" s="65"/>
      <c r="G26" s="65"/>
      <c r="H26" s="196"/>
      <c r="I26" s="196"/>
      <c r="J26" s="196"/>
      <c r="K26" s="207"/>
      <c r="L26" s="64"/>
      <c r="M26" s="65"/>
    </row>
    <row r="27" spans="2:16" ht="20.149999999999999" customHeight="1" x14ac:dyDescent="0.45">
      <c r="B27" s="29"/>
      <c r="C27" s="18" t="s">
        <v>1218</v>
      </c>
      <c r="D27" s="487"/>
      <c r="E27" s="487"/>
      <c r="F27" s="487"/>
      <c r="G27" s="76"/>
      <c r="H27" s="56"/>
      <c r="I27" s="494"/>
      <c r="J27" s="494"/>
      <c r="K27" s="80"/>
      <c r="L27" s="64"/>
      <c r="M27" s="65"/>
    </row>
    <row r="28" spans="2:16" ht="20.149999999999999" customHeight="1" x14ac:dyDescent="0.45">
      <c r="B28" s="29"/>
      <c r="C28" s="147" t="s">
        <v>1356</v>
      </c>
      <c r="G28" s="76"/>
      <c r="H28" s="56"/>
      <c r="I28" s="85"/>
      <c r="J28" s="85"/>
      <c r="K28" s="80"/>
      <c r="L28" s="64"/>
      <c r="M28" s="65"/>
    </row>
    <row r="29" spans="2:16" ht="20.149999999999999" customHeight="1" x14ac:dyDescent="0.45">
      <c r="B29" s="29"/>
      <c r="C29" s="147" t="s">
        <v>1303</v>
      </c>
      <c r="G29" s="76"/>
      <c r="H29" s="56"/>
      <c r="I29" s="85"/>
      <c r="J29" s="85"/>
      <c r="K29" s="80"/>
      <c r="L29" s="64"/>
      <c r="M29" s="65"/>
    </row>
    <row r="30" spans="2:16" ht="20.149999999999999" customHeight="1" x14ac:dyDescent="0.45">
      <c r="B30" s="29"/>
      <c r="C30" s="17"/>
      <c r="D30" s="487"/>
      <c r="E30" s="487"/>
      <c r="F30" s="487"/>
      <c r="G30" s="76"/>
      <c r="H30" s="56"/>
      <c r="I30" s="494"/>
      <c r="J30" s="494"/>
      <c r="K30" s="80"/>
      <c r="L30" s="64"/>
      <c r="M30" s="65"/>
    </row>
    <row r="31" spans="2:16" ht="20.149999999999999" customHeight="1" x14ac:dyDescent="0.45">
      <c r="B31" s="29"/>
      <c r="C31" s="17"/>
      <c r="D31" s="487"/>
      <c r="E31" s="487"/>
      <c r="F31" s="487"/>
      <c r="G31" s="76"/>
      <c r="H31" s="56"/>
      <c r="I31" s="494"/>
      <c r="J31" s="494"/>
      <c r="K31" s="80"/>
      <c r="L31" s="64"/>
    </row>
    <row r="32" spans="2:16" ht="20.149999999999999" customHeight="1" thickBot="1" x14ac:dyDescent="0.5">
      <c r="B32" s="32"/>
      <c r="C32" s="33"/>
      <c r="D32" s="488"/>
      <c r="E32" s="488"/>
      <c r="F32" s="488"/>
      <c r="G32" s="33"/>
      <c r="H32" s="57"/>
      <c r="I32" s="459"/>
      <c r="J32" s="459"/>
      <c r="K32" s="34"/>
      <c r="L32" s="35"/>
    </row>
    <row r="33" spans="2:13" ht="20.149999999999999" customHeight="1" thickBot="1" x14ac:dyDescent="0.5">
      <c r="B33" s="36"/>
      <c r="L33" s="37"/>
    </row>
    <row r="34" spans="2:13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89" t="s">
        <v>13</v>
      </c>
      <c r="K34" s="490"/>
      <c r="L34" s="38">
        <f>SUM(L17:L33)</f>
        <v>160</v>
      </c>
      <c r="M34" s="63">
        <f>SUM(P18:P33)</f>
        <v>117</v>
      </c>
    </row>
    <row r="35" spans="2:13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3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91" t="s">
        <v>19</v>
      </c>
      <c r="K36" s="492"/>
      <c r="L36" s="41">
        <f>L34-L35</f>
        <v>160</v>
      </c>
    </row>
    <row r="37" spans="2:13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14.399999999999999</v>
      </c>
    </row>
    <row r="38" spans="2:13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85" t="s">
        <v>21</v>
      </c>
      <c r="K38" s="486"/>
      <c r="L38" s="43">
        <f>L36+L37</f>
        <v>174.4</v>
      </c>
    </row>
    <row r="39" spans="2:13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3" ht="20.149999999999999" customHeight="1" x14ac:dyDescent="0.45">
      <c r="B40" s="3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44"/>
      <c r="C44" s="45"/>
      <c r="D44" s="45"/>
      <c r="J44" s="45"/>
      <c r="K44" s="45"/>
      <c r="L44" s="46"/>
    </row>
    <row r="45" spans="2:13" ht="20.149999999999999" customHeight="1" x14ac:dyDescent="0.45">
      <c r="B45" s="36" t="s">
        <v>25</v>
      </c>
      <c r="J45" s="19" t="s">
        <v>26</v>
      </c>
      <c r="L45" s="37"/>
    </row>
    <row r="46" spans="2:13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38">
    <mergeCell ref="B15:D15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30:F30"/>
    <mergeCell ref="I30:J30"/>
    <mergeCell ref="J34:K34"/>
    <mergeCell ref="D22:F22"/>
    <mergeCell ref="I22:J22"/>
    <mergeCell ref="D27:F27"/>
    <mergeCell ref="I27:J27"/>
    <mergeCell ref="D23:F23"/>
    <mergeCell ref="I23:J23"/>
    <mergeCell ref="J36:K36"/>
    <mergeCell ref="J38:K38"/>
    <mergeCell ref="D31:F31"/>
    <mergeCell ref="I31:J31"/>
    <mergeCell ref="D32:F32"/>
    <mergeCell ref="I32:J32"/>
  </mergeCells>
  <hyperlinks>
    <hyperlink ref="B15" r:id="rId1" xr:uid="{F2450D69-B082-4A57-928F-A54B8BB2A048}"/>
  </hyperlinks>
  <pageMargins left="0.70866141732283472" right="0.31496062992125984" top="0.59055118110236227" bottom="0" header="0.31496062992125984" footer="0.31496062992125984"/>
  <pageSetup paperSize="9" scale="76" orientation="portrait" r:id="rId2"/>
  <drawing r:id="rId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32E24-561F-4FAB-A0FC-97968E0D1CAA}">
  <sheetPr>
    <tabColor rgb="FFFFC000"/>
    <pageSetUpPr fitToPage="1"/>
  </sheetPr>
  <dimension ref="B1:V1048575"/>
  <sheetViews>
    <sheetView topLeftCell="B26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557</v>
      </c>
      <c r="J10" s="24" t="s">
        <v>27</v>
      </c>
      <c r="K10" s="464">
        <v>202409630</v>
      </c>
      <c r="L10" s="465"/>
    </row>
    <row r="11" spans="2:12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 xml:space="preserve">FOOD REPUBLIC PTE LTD                                   Parkway Parade @Dessert                       80 Marine Parade Road #B1-85        Singapore 449269                            </v>
      </c>
      <c r="G11" s="470"/>
      <c r="H11" s="471"/>
      <c r="J11" s="26" t="s">
        <v>9</v>
      </c>
      <c r="K11" s="478">
        <v>45563</v>
      </c>
      <c r="L11" s="479"/>
    </row>
    <row r="12" spans="2:12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/>
      <c r="C18" s="212" t="s">
        <v>1500</v>
      </c>
      <c r="D18" s="524" t="str">
        <f>VLOOKUP(C18,'Sales Master'!B$3:D$537,2,)</f>
        <v>Skinless Sweet Potato 去皮番薯</v>
      </c>
      <c r="E18" s="524"/>
      <c r="F18" s="524"/>
      <c r="G18" s="76">
        <v>3</v>
      </c>
      <c r="H18" s="183" t="str">
        <f>VLOOKUP(C18,'Sales Master'!$B$3:$F$2420,5,0)</f>
        <v>5 KG</v>
      </c>
      <c r="I18" s="513" t="str">
        <f>VLOOKUP(C18,'Sales Master'!$B$3:$E$2420,4,0)</f>
        <v>Malaysia</v>
      </c>
      <c r="J18" s="513"/>
      <c r="K18" s="83">
        <f>VLOOKUP(C18,'Sales Master'!B$3:I$537,8,0)</f>
        <v>18</v>
      </c>
      <c r="L18" s="84">
        <f>K18*G18</f>
        <v>54</v>
      </c>
      <c r="N18" s="145">
        <f>VLOOKUP(C18,'Sales Master'!$B$3:$DA$2279,104,0)</f>
        <v>9</v>
      </c>
      <c r="O18" s="145">
        <f>K18-N18</f>
        <v>9</v>
      </c>
      <c r="P18" s="145">
        <f>O18*G18</f>
        <v>27</v>
      </c>
      <c r="R18" s="93">
        <v>1</v>
      </c>
      <c r="S18" s="93" t="s">
        <v>200</v>
      </c>
      <c r="T18" s="93" t="s">
        <v>429</v>
      </c>
      <c r="U18" s="93"/>
      <c r="V18" s="93">
        <v>32</v>
      </c>
    </row>
    <row r="19" spans="2:22" ht="20.149999999999999" customHeight="1" x14ac:dyDescent="0.45">
      <c r="B19" s="29"/>
      <c r="C19" s="212"/>
      <c r="D19" s="487"/>
      <c r="E19" s="487"/>
      <c r="F19" s="487"/>
      <c r="G19" s="76"/>
      <c r="H19" s="183"/>
      <c r="I19" s="513"/>
      <c r="J19" s="513"/>
      <c r="K19" s="83"/>
      <c r="L19" s="84"/>
      <c r="N19" s="145"/>
      <c r="O19" s="145"/>
      <c r="P19" s="145"/>
    </row>
    <row r="20" spans="2:22" ht="20.149999999999999" customHeight="1" x14ac:dyDescent="0.45">
      <c r="B20" s="29"/>
      <c r="C20" s="212"/>
      <c r="D20" s="498"/>
      <c r="E20" s="498"/>
      <c r="F20" s="498"/>
      <c r="G20" s="76"/>
      <c r="H20" s="183"/>
      <c r="I20" s="513"/>
      <c r="J20" s="513"/>
      <c r="K20" s="83"/>
      <c r="L20" s="84"/>
      <c r="N20" s="145"/>
      <c r="O20" s="145"/>
      <c r="P20" s="145"/>
    </row>
    <row r="21" spans="2:22" ht="20.149999999999999" customHeight="1" x14ac:dyDescent="0.45">
      <c r="B21" s="29"/>
      <c r="C21" s="17"/>
      <c r="G21" s="76"/>
      <c r="H21" s="56"/>
      <c r="I21" s="56"/>
      <c r="J21" s="56"/>
      <c r="K21" s="30"/>
      <c r="L21" s="31"/>
    </row>
    <row r="22" spans="2:22" ht="20.149999999999999" customHeight="1" x14ac:dyDescent="0.45">
      <c r="B22" s="29"/>
      <c r="C22" s="17"/>
      <c r="G22" s="76"/>
      <c r="H22" s="56"/>
      <c r="I22" s="56"/>
      <c r="J22" s="56"/>
      <c r="K22" s="30"/>
      <c r="L22" s="31"/>
    </row>
    <row r="23" spans="2:22" ht="20.149999999999999" customHeight="1" x14ac:dyDescent="0.45">
      <c r="B23" s="29"/>
      <c r="C23" s="17"/>
      <c r="G23" s="76"/>
      <c r="H23" s="56"/>
      <c r="I23" s="56"/>
      <c r="J23" s="56"/>
      <c r="K23" s="30"/>
      <c r="L23" s="31"/>
    </row>
    <row r="24" spans="2:22" ht="20.149999999999999" customHeight="1" x14ac:dyDescent="0.45">
      <c r="B24" s="29"/>
      <c r="C24" s="17"/>
      <c r="G24" s="76"/>
      <c r="H24" s="56"/>
      <c r="I24" s="56"/>
      <c r="J24" s="56"/>
      <c r="K24" s="30"/>
      <c r="L24" s="31"/>
    </row>
    <row r="25" spans="2:22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31"/>
    </row>
    <row r="26" spans="2:22" ht="20.149999999999999" customHeight="1" x14ac:dyDescent="0.45">
      <c r="B26" s="29"/>
      <c r="C26" s="17"/>
      <c r="D26" s="487"/>
      <c r="E26" s="487"/>
      <c r="F26" s="487"/>
      <c r="G26" s="76"/>
      <c r="H26" s="56"/>
      <c r="I26" s="494"/>
      <c r="J26" s="494"/>
      <c r="K26" s="30"/>
      <c r="L26" s="31"/>
    </row>
    <row r="27" spans="2:22" ht="20.149999999999999" customHeight="1" x14ac:dyDescent="0.45">
      <c r="B27" s="29"/>
      <c r="C27" s="17"/>
      <c r="D27" s="487"/>
      <c r="E27" s="487"/>
      <c r="F27" s="487"/>
      <c r="G27" s="76"/>
      <c r="H27" s="56"/>
      <c r="I27" s="494"/>
      <c r="J27" s="494"/>
      <c r="K27" s="30"/>
      <c r="L27" s="31"/>
    </row>
    <row r="28" spans="2:22" ht="20.149999999999999" customHeight="1" x14ac:dyDescent="0.45">
      <c r="B28" s="29"/>
      <c r="C28" s="17"/>
      <c r="G28" s="76"/>
      <c r="H28" s="56"/>
      <c r="I28" s="56"/>
      <c r="J28" s="56"/>
      <c r="K28" s="30"/>
      <c r="L28" s="31"/>
    </row>
    <row r="29" spans="2:22" ht="20.149999999999999" customHeight="1" x14ac:dyDescent="0.45">
      <c r="B29" s="104"/>
      <c r="C29" s="105"/>
      <c r="D29" s="514"/>
      <c r="E29" s="514"/>
      <c r="F29" s="514"/>
      <c r="G29" s="105"/>
      <c r="H29" s="105"/>
      <c r="I29" s="124"/>
      <c r="J29" s="124"/>
      <c r="K29" s="108"/>
      <c r="L29" s="12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89" t="s">
        <v>13</v>
      </c>
      <c r="K31" s="490"/>
      <c r="L31" s="38">
        <f>SUM(L18:L30)</f>
        <v>54</v>
      </c>
      <c r="M31" s="63">
        <f>SUM(P18:P29)</f>
        <v>27</v>
      </c>
      <c r="N31" s="133">
        <f>M31/L31</f>
        <v>0.5</v>
      </c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91" t="s">
        <v>19</v>
      </c>
      <c r="K33" s="492"/>
      <c r="L33" s="41">
        <f>L31-L32</f>
        <v>54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4.8599999999999994</v>
      </c>
    </row>
    <row r="35" spans="2:12" ht="20.149999999999999" customHeight="1" thickBot="1" x14ac:dyDescent="0.5">
      <c r="B35" s="10" t="s">
        <v>676</v>
      </c>
      <c r="C35" s="6"/>
      <c r="D35" s="6"/>
      <c r="E35" s="6"/>
      <c r="F35" s="6"/>
      <c r="G35" s="6"/>
      <c r="H35" s="6"/>
      <c r="I35" s="6"/>
      <c r="J35" s="485" t="s">
        <v>21</v>
      </c>
      <c r="K35" s="486"/>
      <c r="L35" s="43">
        <f>L33+L34</f>
        <v>58.86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666</v>
      </c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1048575" spans="8:16" x14ac:dyDescent="0.45">
      <c r="H1048575" s="183"/>
      <c r="I1048575" s="513"/>
      <c r="J1048575" s="513"/>
      <c r="K1048575" s="83"/>
      <c r="L1048575" s="83"/>
      <c r="N1048575" s="233"/>
      <c r="O1048575" s="233"/>
      <c r="P1048575" s="233"/>
    </row>
  </sheetData>
  <mergeCells count="32">
    <mergeCell ref="D26:F26"/>
    <mergeCell ref="I26:J26"/>
    <mergeCell ref="I1048575:J1048575"/>
    <mergeCell ref="D27:F27"/>
    <mergeCell ref="I27:J27"/>
    <mergeCell ref="D29:F29"/>
    <mergeCell ref="J31:K31"/>
    <mergeCell ref="J33:K33"/>
    <mergeCell ref="J35:K35"/>
    <mergeCell ref="I17:J17"/>
    <mergeCell ref="D19:F19"/>
    <mergeCell ref="I19:J19"/>
    <mergeCell ref="D25:F25"/>
    <mergeCell ref="I25:J25"/>
    <mergeCell ref="D18:F18"/>
    <mergeCell ref="I18:J18"/>
    <mergeCell ref="D17:F17"/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63" priority="1"/>
  </conditionalFormatting>
  <conditionalFormatting sqref="C19:C24">
    <cfRule type="duplicateValues" dxfId="162" priority="3"/>
  </conditionalFormatting>
  <conditionalFormatting sqref="C25">
    <cfRule type="duplicateValues" dxfId="161" priority="2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B5485-8895-4FE9-948C-79387CEC5E75}">
  <sheetPr codeName="Sheet64">
    <tabColor rgb="FFFF0000"/>
    <pageSetUpPr fitToPage="1"/>
  </sheetPr>
  <dimension ref="B1:V51"/>
  <sheetViews>
    <sheetView workbookViewId="0">
      <selection activeCell="B1" sqref="B1:L51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7.1796875" style="19" customWidth="1"/>
    <col min="7" max="7" width="8.54296875" style="19" customWidth="1"/>
    <col min="8" max="8" width="15.54296875" style="19" customWidth="1"/>
    <col min="9" max="9" width="2.179687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569</v>
      </c>
      <c r="J10" s="68" t="s">
        <v>27</v>
      </c>
      <c r="K10" s="464">
        <v>202108341</v>
      </c>
      <c r="L10" s="465"/>
    </row>
    <row r="11" spans="2:12" ht="20.149999999999999" customHeight="1" x14ac:dyDescent="0.45">
      <c r="B11" s="466" t="s">
        <v>571</v>
      </c>
      <c r="C11" s="467"/>
      <c r="D11" s="468"/>
      <c r="E11" s="25"/>
      <c r="F11" s="469" t="str">
        <f>VLOOKUP(H10,'Delivery Location'!A$4:N$466,2,0)</f>
        <v>BB Tea House                                          Block 640, Yishun #01-200 Singapore</v>
      </c>
      <c r="G11" s="470"/>
      <c r="H11" s="471"/>
      <c r="J11" s="69" t="s">
        <v>9</v>
      </c>
      <c r="K11" s="500">
        <v>44432</v>
      </c>
      <c r="L11" s="483"/>
    </row>
    <row r="12" spans="2:12" ht="20.149999999999999" customHeight="1" x14ac:dyDescent="0.45">
      <c r="B12" s="480" t="s">
        <v>572</v>
      </c>
      <c r="C12" s="453"/>
      <c r="D12" s="481"/>
      <c r="E12" s="25"/>
      <c r="F12" s="472"/>
      <c r="G12" s="473"/>
      <c r="H12" s="474"/>
      <c r="J12" s="69" t="s">
        <v>127</v>
      </c>
      <c r="K12" s="482" t="s">
        <v>331</v>
      </c>
      <c r="L12" s="483"/>
    </row>
    <row r="13" spans="2:12" ht="20.149999999999999" customHeight="1" x14ac:dyDescent="0.45">
      <c r="B13" s="480"/>
      <c r="C13" s="453"/>
      <c r="D13" s="481"/>
      <c r="E13" s="25"/>
      <c r="F13" s="472"/>
      <c r="G13" s="473"/>
      <c r="H13" s="474"/>
      <c r="J13" s="69" t="s">
        <v>10</v>
      </c>
      <c r="K13" s="482" t="s">
        <v>12</v>
      </c>
      <c r="L13" s="483"/>
    </row>
    <row r="14" spans="2:12" ht="20.149999999999999" customHeight="1" x14ac:dyDescent="0.45">
      <c r="B14" s="480"/>
      <c r="C14" s="453"/>
      <c r="D14" s="481"/>
      <c r="E14" s="25"/>
      <c r="F14" s="472"/>
      <c r="G14" s="473"/>
      <c r="H14" s="474"/>
      <c r="J14" s="69" t="s">
        <v>28</v>
      </c>
      <c r="K14" s="482" t="s">
        <v>14</v>
      </c>
      <c r="L14" s="483"/>
    </row>
    <row r="15" spans="2:12" ht="18" customHeight="1" thickBot="1" x14ac:dyDescent="0.5">
      <c r="B15" s="50"/>
      <c r="C15" s="51"/>
      <c r="D15" s="52"/>
      <c r="E15" s="21"/>
      <c r="F15" s="475"/>
      <c r="G15" s="476"/>
      <c r="H15" s="477"/>
      <c r="J15" s="70" t="s">
        <v>11</v>
      </c>
      <c r="K15" s="495"/>
      <c r="L15" s="496"/>
    </row>
    <row r="16" spans="2:12" ht="19" thickBot="1" x14ac:dyDescent="0.5">
      <c r="J16" s="71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28"/>
      <c r="O17" s="28"/>
    </row>
    <row r="18" spans="2:22" ht="20.149999999999999" customHeight="1" x14ac:dyDescent="0.45">
      <c r="B18" s="29"/>
      <c r="C18" s="76" t="s">
        <v>701</v>
      </c>
      <c r="D18" s="446" t="str">
        <f>VLOOKUP(C18,'Sales Master'!B$3:D$537,2,)</f>
        <v>Fresh Soursop Seedless 红毛榴莲(无)</v>
      </c>
      <c r="E18" s="446"/>
      <c r="F18" s="446"/>
      <c r="G18" s="76">
        <v>3</v>
      </c>
      <c r="H18" s="82" t="str">
        <f>VLOOKUP(C18,'Sales Master'!$B$3:$F$537,5,0)</f>
        <v>GW:1 KG/ Box盒</v>
      </c>
      <c r="I18" s="447" t="str">
        <f>VLOOKUP(C18,'Sales Master'!$B$3:$E$537,4,0)</f>
        <v>DO!</v>
      </c>
      <c r="J18" s="447"/>
      <c r="K18" s="83">
        <f>VLOOKUP(C18,'Sales Master'!$B$3:$BT$2412,71,0)</f>
        <v>10</v>
      </c>
      <c r="L18" s="84">
        <f>K18*G18</f>
        <v>30</v>
      </c>
      <c r="M18" s="65"/>
      <c r="N18" s="93" t="s">
        <v>299</v>
      </c>
      <c r="O18" s="19" t="s">
        <v>413</v>
      </c>
      <c r="R18" s="19">
        <v>1</v>
      </c>
      <c r="S18" s="19" t="s">
        <v>417</v>
      </c>
      <c r="T18" s="19" t="s">
        <v>414</v>
      </c>
      <c r="V18" s="19">
        <v>52.8</v>
      </c>
    </row>
    <row r="19" spans="2:22" ht="20.149999999999999" customHeight="1" x14ac:dyDescent="0.45">
      <c r="B19" s="29"/>
      <c r="C19" s="76" t="s">
        <v>702</v>
      </c>
      <c r="D19" s="446" t="str">
        <f>VLOOKUP(C19,'Sales Master'!B$3:D$537,2,)</f>
        <v>Durian Puree 榴莲酱</v>
      </c>
      <c r="E19" s="446"/>
      <c r="F19" s="446"/>
      <c r="G19" s="76">
        <v>2</v>
      </c>
      <c r="H19" s="82" t="str">
        <f>VLOOKUP(C19,'Sales Master'!$B$3:$F$537,5,0)</f>
        <v>1 KG/ Box盒</v>
      </c>
      <c r="I19" s="447" t="str">
        <f>VLOOKUP(C19,'Sales Master'!$B$3:$E$537,4,0)</f>
        <v>DO!</v>
      </c>
      <c r="J19" s="447"/>
      <c r="K19" s="83">
        <f>VLOOKUP(C19,'Sales Master'!$B$3:$BT$2412,71,0)</f>
        <v>9</v>
      </c>
      <c r="L19" s="84">
        <f>K19*G19</f>
        <v>18</v>
      </c>
    </row>
    <row r="20" spans="2:22" ht="20.149999999999999" customHeight="1" x14ac:dyDescent="0.45">
      <c r="B20" s="29"/>
      <c r="C20" s="76" t="s">
        <v>947</v>
      </c>
      <c r="D20" s="446" t="str">
        <f>VLOOKUP(C20,'Sales Master'!B$3:D$537,2,)</f>
        <v>Carnation Milk 三花淡奶水</v>
      </c>
      <c r="E20" s="446"/>
      <c r="F20" s="446"/>
      <c r="G20" s="76">
        <v>24</v>
      </c>
      <c r="H20" s="82" t="str">
        <f>VLOOKUP(C20,'Sales Master'!$B$3:$F$537,5,0)</f>
        <v>405 GM/ Can罐</v>
      </c>
      <c r="I20" s="447" t="str">
        <f>VLOOKUP(C20,'Sales Master'!$B$3:$E$537,4,0)</f>
        <v>Threeflower</v>
      </c>
      <c r="J20" s="447"/>
      <c r="K20" s="83">
        <f>VLOOKUP(C20,'Sales Master'!$B$3:$BT$2412,71,0)</f>
        <v>1.3</v>
      </c>
      <c r="L20" s="84">
        <f>K20*G20</f>
        <v>31.200000000000003</v>
      </c>
      <c r="M20" s="65"/>
    </row>
    <row r="21" spans="2:22" ht="20.149999999999999" customHeight="1" x14ac:dyDescent="0.45">
      <c r="B21" s="29"/>
      <c r="C21" s="76" t="s">
        <v>990</v>
      </c>
      <c r="D21" s="446" t="str">
        <f>VLOOKUP(C21,'Sales Master'!B$3:D$537,2,)</f>
        <v>Fine Sugar 白糖</v>
      </c>
      <c r="E21" s="446"/>
      <c r="F21" s="446"/>
      <c r="G21" s="76">
        <v>1</v>
      </c>
      <c r="H21" s="82" t="str">
        <f>VLOOKUP(C21,'Sales Master'!$B$3:$F$537,5,0)</f>
        <v>25 KGS</v>
      </c>
      <c r="I21" s="447" t="str">
        <f>VLOOKUP(C21,'Sales Master'!$B$3:$E$537,4,0)</f>
        <v>MITR PHOL/ 蜜朋</v>
      </c>
      <c r="J21" s="447"/>
      <c r="K21" s="83">
        <f>VLOOKUP(C21,'Sales Master'!$B$3:$BT$2412,71,0)</f>
        <v>0</v>
      </c>
      <c r="L21" s="84">
        <f>K21*G21</f>
        <v>0</v>
      </c>
      <c r="M21" s="65"/>
    </row>
    <row r="22" spans="2:22" ht="20.149999999999999" customHeight="1" x14ac:dyDescent="0.45">
      <c r="B22" s="66"/>
      <c r="C22" s="76" t="s">
        <v>1104</v>
      </c>
      <c r="D22" s="446" t="str">
        <f>VLOOKUP(C22,'Sales Master'!B$3:D$537,2,)</f>
        <v>WHEAT FLOUR</v>
      </c>
      <c r="E22" s="446"/>
      <c r="F22" s="446"/>
      <c r="G22" s="76">
        <v>1</v>
      </c>
      <c r="H22" s="82" t="str">
        <f>VLOOKUP(C22,'Sales Master'!$B$3:$F$537,5,0)</f>
        <v>25 KGS</v>
      </c>
      <c r="I22" s="447" t="str">
        <f>VLOOKUP(C22,'Sales Master'!$B$3:$E$537,4,0)</f>
        <v>FISH BRAND</v>
      </c>
      <c r="J22" s="447"/>
      <c r="K22" s="83">
        <f>VLOOKUP(C22,'Sales Master'!$B$3:$BT$2412,71,0)</f>
        <v>36</v>
      </c>
      <c r="L22" s="84">
        <f>K22*G22</f>
        <v>36</v>
      </c>
      <c r="M22" s="65"/>
    </row>
    <row r="23" spans="2:22" ht="20.149999999999999" customHeight="1" x14ac:dyDescent="0.45">
      <c r="B23" s="29"/>
      <c r="C23" s="76"/>
      <c r="D23" s="446"/>
      <c r="E23" s="446"/>
      <c r="F23" s="446"/>
      <c r="G23" s="76"/>
      <c r="H23" s="82"/>
      <c r="I23" s="447"/>
      <c r="J23" s="447"/>
      <c r="K23" s="83"/>
      <c r="L23" s="161"/>
      <c r="M23" s="65"/>
    </row>
    <row r="24" spans="2:22" ht="20.149999999999999" customHeight="1" x14ac:dyDescent="0.45">
      <c r="B24" s="29"/>
      <c r="C24" s="76"/>
      <c r="D24" s="446"/>
      <c r="E24" s="446"/>
      <c r="F24" s="446"/>
      <c r="G24" s="76"/>
      <c r="H24" s="82"/>
      <c r="I24" s="447"/>
      <c r="J24" s="447"/>
      <c r="K24" s="83"/>
      <c r="L24" s="161"/>
      <c r="M24" s="65"/>
    </row>
    <row r="25" spans="2:22" ht="20.149999999999999" customHeight="1" x14ac:dyDescent="0.45">
      <c r="B25" s="29"/>
      <c r="C25" s="17"/>
      <c r="D25" s="487"/>
      <c r="E25" s="487"/>
      <c r="F25" s="487"/>
      <c r="G25" s="17"/>
      <c r="H25" s="56"/>
      <c r="I25" s="494"/>
      <c r="J25" s="494"/>
      <c r="K25" s="30"/>
      <c r="L25" s="92"/>
      <c r="M25" s="65"/>
    </row>
    <row r="26" spans="2:22" ht="20.149999999999999" customHeight="1" x14ac:dyDescent="0.45">
      <c r="B26" s="29"/>
      <c r="C26" s="17"/>
      <c r="D26" s="487"/>
      <c r="E26" s="487"/>
      <c r="F26" s="487"/>
      <c r="G26" s="17"/>
      <c r="H26" s="56"/>
      <c r="I26" s="494"/>
      <c r="J26" s="494"/>
      <c r="K26" s="30"/>
      <c r="L26" s="92"/>
      <c r="M26" s="65"/>
    </row>
    <row r="27" spans="2:22" ht="20.149999999999999" customHeight="1" x14ac:dyDescent="0.45">
      <c r="B27" s="29"/>
      <c r="C27" s="17"/>
      <c r="D27" s="487"/>
      <c r="E27" s="487"/>
      <c r="F27" s="487"/>
      <c r="G27" s="17"/>
      <c r="H27" s="56"/>
      <c r="I27" s="494"/>
      <c r="J27" s="494"/>
      <c r="K27" s="30"/>
      <c r="L27" s="92"/>
      <c r="M27" s="65"/>
    </row>
    <row r="28" spans="2:22" ht="20.149999999999999" customHeight="1" x14ac:dyDescent="0.45">
      <c r="B28" s="29"/>
      <c r="C28" s="17"/>
      <c r="D28" s="487"/>
      <c r="E28" s="487"/>
      <c r="F28" s="487"/>
      <c r="G28" s="17"/>
      <c r="H28" s="56"/>
      <c r="I28" s="494"/>
      <c r="J28" s="494"/>
      <c r="K28" s="30"/>
      <c r="L28" s="92"/>
      <c r="M28" s="65"/>
    </row>
    <row r="29" spans="2:22" ht="20.149999999999999" customHeight="1" x14ac:dyDescent="0.45">
      <c r="B29" s="29"/>
      <c r="C29" s="17"/>
      <c r="D29" s="487"/>
      <c r="E29" s="487"/>
      <c r="F29" s="487"/>
      <c r="G29" s="17"/>
      <c r="H29" s="56"/>
      <c r="I29" s="494"/>
      <c r="J29" s="494"/>
      <c r="K29" s="30"/>
      <c r="L29" s="92"/>
      <c r="M29" s="65"/>
    </row>
    <row r="30" spans="2:22" ht="20.149999999999999" customHeight="1" x14ac:dyDescent="0.45">
      <c r="B30" s="29"/>
      <c r="C30" s="17"/>
      <c r="D30" s="487"/>
      <c r="E30" s="487"/>
      <c r="F30" s="487"/>
      <c r="G30" s="17"/>
      <c r="H30" s="56"/>
      <c r="I30" s="494"/>
      <c r="J30" s="494"/>
      <c r="K30" s="30"/>
      <c r="L30" s="92"/>
    </row>
    <row r="31" spans="2:22" ht="20.149999999999999" customHeight="1" x14ac:dyDescent="0.45">
      <c r="B31" s="29"/>
      <c r="C31" s="17"/>
      <c r="D31" s="487"/>
      <c r="E31" s="487"/>
      <c r="F31" s="487"/>
      <c r="G31" s="17"/>
      <c r="H31" s="56"/>
      <c r="I31" s="494"/>
      <c r="J31" s="494"/>
      <c r="K31" s="30"/>
      <c r="L31" s="92"/>
      <c r="M31" s="65"/>
    </row>
    <row r="32" spans="2:22" ht="20.149999999999999" customHeight="1" x14ac:dyDescent="0.45">
      <c r="B32" s="29"/>
      <c r="C32" s="17"/>
      <c r="D32" s="487"/>
      <c r="E32" s="487"/>
      <c r="F32" s="487"/>
      <c r="G32" s="17"/>
      <c r="H32" s="56"/>
      <c r="I32" s="494"/>
      <c r="J32" s="494"/>
      <c r="K32" s="30"/>
      <c r="L32" s="92"/>
      <c r="M32" s="65"/>
    </row>
    <row r="33" spans="2:13" ht="20.149999999999999" customHeight="1" x14ac:dyDescent="0.45">
      <c r="B33" s="29"/>
      <c r="C33" s="17"/>
      <c r="D33" s="487"/>
      <c r="E33" s="487"/>
      <c r="F33" s="487"/>
      <c r="G33" s="17"/>
      <c r="H33" s="56"/>
      <c r="I33" s="494"/>
      <c r="J33" s="494"/>
      <c r="K33" s="30"/>
      <c r="L33" s="92"/>
    </row>
    <row r="34" spans="2:13" ht="20.149999999999999" customHeight="1" x14ac:dyDescent="0.45">
      <c r="B34" s="29"/>
      <c r="C34" s="17"/>
      <c r="D34" s="487"/>
      <c r="E34" s="487"/>
      <c r="F34" s="487"/>
      <c r="G34" s="17"/>
      <c r="H34" s="56"/>
      <c r="I34" s="494"/>
      <c r="J34" s="494"/>
      <c r="K34" s="30"/>
      <c r="L34" s="92"/>
    </row>
    <row r="35" spans="2:13" ht="20.149999999999999" customHeight="1" x14ac:dyDescent="0.45">
      <c r="B35" s="29"/>
      <c r="C35" s="17"/>
      <c r="D35" s="487"/>
      <c r="E35" s="487"/>
      <c r="F35" s="487"/>
      <c r="G35" s="17"/>
      <c r="H35" s="56"/>
      <c r="I35" s="494"/>
      <c r="J35" s="494"/>
      <c r="K35" s="30"/>
      <c r="L35" s="92"/>
    </row>
    <row r="36" spans="2:13" ht="20.149999999999999" customHeight="1" x14ac:dyDescent="0.45">
      <c r="B36" s="29"/>
      <c r="C36" s="17"/>
      <c r="D36" s="487"/>
      <c r="E36" s="487"/>
      <c r="F36" s="487"/>
      <c r="G36" s="17"/>
      <c r="H36" s="56"/>
      <c r="I36" s="494"/>
      <c r="J36" s="494"/>
      <c r="K36" s="30"/>
      <c r="L36" s="92"/>
    </row>
    <row r="37" spans="2:13" ht="20.149999999999999" customHeight="1" thickBot="1" x14ac:dyDescent="0.5">
      <c r="B37" s="32"/>
      <c r="C37" s="33"/>
      <c r="D37" s="488"/>
      <c r="E37" s="488"/>
      <c r="F37" s="488"/>
      <c r="G37" s="33"/>
      <c r="H37" s="57"/>
      <c r="I37" s="530"/>
      <c r="J37" s="530"/>
      <c r="K37" s="34"/>
      <c r="L37" s="7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72"/>
      <c r="J39" s="489" t="s">
        <v>13</v>
      </c>
      <c r="K39" s="490"/>
      <c r="L39" s="38">
        <f>SUM(L17:L36)</f>
        <v>115.2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72"/>
      <c r="J40" s="39" t="s">
        <v>20</v>
      </c>
      <c r="K40" s="40"/>
      <c r="L40" s="41">
        <f>L39*K40</f>
        <v>0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72"/>
      <c r="J41" s="491" t="s">
        <v>19</v>
      </c>
      <c r="K41" s="492"/>
      <c r="L41" s="41">
        <f>L39-L40</f>
        <v>115.2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72"/>
      <c r="J42" s="102" t="s">
        <v>15</v>
      </c>
      <c r="K42" s="103">
        <f>'Sales Master'!$B$1</f>
        <v>0.09</v>
      </c>
      <c r="L42" s="42">
        <f>L41*K42</f>
        <v>10.368</v>
      </c>
    </row>
    <row r="43" spans="2:13" ht="20.149999999999999" customHeight="1" thickBot="1" x14ac:dyDescent="0.5">
      <c r="B43" s="10" t="s">
        <v>676</v>
      </c>
      <c r="C43" s="6"/>
      <c r="D43" s="6"/>
      <c r="E43" s="6"/>
      <c r="F43" s="6"/>
      <c r="G43" s="6"/>
      <c r="H43" s="6"/>
      <c r="I43" s="72"/>
      <c r="J43" s="485" t="s">
        <v>21</v>
      </c>
      <c r="K43" s="486"/>
      <c r="L43" s="43">
        <f>L41+L42</f>
        <v>125.568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72"/>
      <c r="L44" s="37"/>
    </row>
    <row r="45" spans="2:13" ht="20.149999999999999" customHeight="1" x14ac:dyDescent="0.45">
      <c r="B45" s="144" t="s">
        <v>666</v>
      </c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73"/>
      <c r="K49" s="45"/>
      <c r="L49" s="46"/>
    </row>
    <row r="50" spans="2:12" x14ac:dyDescent="0.45">
      <c r="B50" s="36" t="s">
        <v>25</v>
      </c>
      <c r="J50" s="67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74"/>
      <c r="J51" s="74"/>
      <c r="K51" s="48"/>
      <c r="L51" s="49"/>
    </row>
  </sheetData>
  <mergeCells count="57">
    <mergeCell ref="B1:L8"/>
    <mergeCell ref="J41:K41"/>
    <mergeCell ref="J43:K43"/>
    <mergeCell ref="D36:F36"/>
    <mergeCell ref="I36:J36"/>
    <mergeCell ref="D37:F37"/>
    <mergeCell ref="I37:J37"/>
    <mergeCell ref="J39:K39"/>
    <mergeCell ref="D35:F35"/>
    <mergeCell ref="I35:J35"/>
    <mergeCell ref="D34:F34"/>
    <mergeCell ref="I34:J34"/>
    <mergeCell ref="D31:F31"/>
    <mergeCell ref="I31:J31"/>
    <mergeCell ref="D32:F32"/>
    <mergeCell ref="I32:J32"/>
    <mergeCell ref="D33:F33"/>
    <mergeCell ref="I33:J33"/>
    <mergeCell ref="D28:F28"/>
    <mergeCell ref="I28:J28"/>
    <mergeCell ref="D29:F29"/>
    <mergeCell ref="I29:J29"/>
    <mergeCell ref="D30:F30"/>
    <mergeCell ref="I30:J30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04F1F-011A-4A5F-87A5-8D1A9A297E28}">
  <sheetPr codeName="Sheet143">
    <tabColor rgb="FF7030A0"/>
    <pageSetUpPr fitToPage="1"/>
  </sheetPr>
  <dimension ref="B1:O41"/>
  <sheetViews>
    <sheetView workbookViewId="0">
      <selection activeCell="K32" sqref="K3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574</v>
      </c>
      <c r="J10" s="24" t="s">
        <v>27</v>
      </c>
      <c r="K10" s="464">
        <v>202112469</v>
      </c>
      <c r="L10" s="465"/>
    </row>
    <row r="11" spans="2:12" ht="20.149999999999999" customHeight="1" x14ac:dyDescent="0.45">
      <c r="B11" s="466" t="s">
        <v>1144</v>
      </c>
      <c r="C11" s="467"/>
      <c r="D11" s="468"/>
      <c r="E11" s="25"/>
      <c r="F11" s="469" t="str">
        <f>VLOOKUP(H10,'Delivery Location'!A$4:N$466,2,0)</f>
        <v xml:space="preserve">Koufu - WoodGrove                                30, Woodlands Ave 1 #01-11 Singapore 739065     (DESSERT COUNTER)                               </v>
      </c>
      <c r="G11" s="470"/>
      <c r="H11" s="471"/>
      <c r="J11" s="26" t="s">
        <v>9</v>
      </c>
      <c r="K11" s="500" t="s">
        <v>1157</v>
      </c>
      <c r="L11" s="483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7" t="s">
        <v>386</v>
      </c>
      <c r="I17" s="460" t="s">
        <v>385</v>
      </c>
      <c r="J17" s="462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929</v>
      </c>
      <c r="D18" s="487" t="str">
        <f>VLOOKUP(C18,'Sales Master'!B$3:D$537,2,)</f>
        <v>Aloe Vera 芦荟 10mm</v>
      </c>
      <c r="E18" s="487"/>
      <c r="F18" s="487"/>
      <c r="G18" s="17">
        <v>6</v>
      </c>
      <c r="H18" s="56" t="str">
        <f>VLOOKUP(C18,'Sales Master'!$B$3:$E$537,4,0)</f>
        <v>Chefs</v>
      </c>
      <c r="I18" s="458" t="str">
        <f>VLOOKUP(C18,'Sales Master'!$B$3:F$537,5,0)</f>
        <v>1 Can X A10</v>
      </c>
      <c r="J18" s="458"/>
      <c r="K18" s="30">
        <f>VLOOKUP(C18,'Sales Master'!B$3:J$537,9,0)</f>
        <v>10</v>
      </c>
      <c r="L18" s="64">
        <f>K18*G18</f>
        <v>60</v>
      </c>
      <c r="M18" s="65"/>
    </row>
    <row r="19" spans="2:15" ht="20.149999999999999" customHeight="1" x14ac:dyDescent="0.45">
      <c r="B19" s="29"/>
      <c r="C19" s="17" t="s">
        <v>929</v>
      </c>
      <c r="D19" s="487" t="str">
        <f>VLOOKUP(C19,'Sales Master'!B$3:D$537,2,)</f>
        <v>Aloe Vera 芦荟 10mm</v>
      </c>
      <c r="E19" s="487"/>
      <c r="F19" s="487"/>
      <c r="G19" s="17">
        <v>6</v>
      </c>
      <c r="H19" s="56" t="str">
        <f>VLOOKUP(C19,'Sales Master'!$B$3:$E$537,4,0)</f>
        <v>Chefs</v>
      </c>
      <c r="I19" s="458" t="str">
        <f>VLOOKUP(C19,'Sales Master'!$B$3:F$537,5,0)</f>
        <v>1 Can X A10</v>
      </c>
      <c r="J19" s="458"/>
      <c r="K19" s="30">
        <f>VLOOKUP(C19,'Sales Master'!B$3:J$537,9,0)</f>
        <v>10</v>
      </c>
      <c r="L19" s="64">
        <f>K19*G19</f>
        <v>60</v>
      </c>
      <c r="M19" s="65"/>
    </row>
    <row r="20" spans="2:15" ht="20.149999999999999" customHeight="1" x14ac:dyDescent="0.45">
      <c r="B20" s="29"/>
      <c r="C20" s="17"/>
      <c r="D20" s="487"/>
      <c r="E20" s="487"/>
      <c r="F20" s="487"/>
      <c r="G20" s="17"/>
      <c r="H20" s="56"/>
      <c r="I20" s="458"/>
      <c r="J20" s="458"/>
      <c r="K20" s="30"/>
      <c r="L20" s="64"/>
      <c r="M20" s="65"/>
    </row>
    <row r="21" spans="2:15" ht="20.149999999999999" customHeight="1" x14ac:dyDescent="0.45">
      <c r="B21" s="29"/>
      <c r="C21" s="17"/>
      <c r="D21" s="487"/>
      <c r="E21" s="487"/>
      <c r="F21" s="487"/>
      <c r="G21" s="17"/>
      <c r="H21" s="56"/>
      <c r="I21" s="458"/>
      <c r="J21" s="458"/>
      <c r="K21" s="30"/>
      <c r="L21" s="64"/>
      <c r="M21" s="65"/>
    </row>
    <row r="22" spans="2:15" ht="20.149999999999999" customHeight="1" x14ac:dyDescent="0.45">
      <c r="B22" s="29"/>
      <c r="C22" s="17"/>
      <c r="D22" s="487"/>
      <c r="E22" s="487"/>
      <c r="F22" s="487"/>
      <c r="G22" s="17"/>
      <c r="H22" s="56"/>
      <c r="I22" s="458"/>
      <c r="J22" s="458"/>
      <c r="K22" s="30"/>
      <c r="L22" s="64"/>
      <c r="M22" s="65"/>
    </row>
    <row r="23" spans="2:15" ht="20.149999999999999" customHeight="1" x14ac:dyDescent="0.45">
      <c r="B23" s="29"/>
      <c r="C23" s="17"/>
      <c r="D23" s="487"/>
      <c r="E23" s="487"/>
      <c r="F23" s="487"/>
      <c r="G23" s="17"/>
      <c r="H23" s="56"/>
      <c r="I23" s="458"/>
      <c r="J23" s="458"/>
      <c r="K23" s="30"/>
      <c r="L23" s="64"/>
      <c r="M23" s="65"/>
    </row>
    <row r="24" spans="2:15" ht="20.149999999999999" customHeight="1" x14ac:dyDescent="0.45">
      <c r="B24" s="29"/>
      <c r="C24" s="17"/>
      <c r="D24" s="487"/>
      <c r="E24" s="487"/>
      <c r="F24" s="487"/>
      <c r="G24" s="17"/>
      <c r="H24" s="56"/>
      <c r="I24" s="458"/>
      <c r="J24" s="458"/>
      <c r="K24" s="30"/>
      <c r="L24" s="64"/>
      <c r="M24" s="65"/>
    </row>
    <row r="25" spans="2:15" ht="20.149999999999999" customHeight="1" x14ac:dyDescent="0.45">
      <c r="B25" s="29"/>
      <c r="C25" s="17"/>
      <c r="D25" s="487"/>
      <c r="E25" s="487"/>
      <c r="F25" s="487"/>
      <c r="G25" s="17"/>
      <c r="H25" s="56"/>
      <c r="I25" s="458"/>
      <c r="J25" s="458"/>
      <c r="K25" s="30"/>
      <c r="L25" s="64"/>
      <c r="M25" s="65"/>
    </row>
    <row r="26" spans="2:15" ht="20.149999999999999" customHeight="1" x14ac:dyDescent="0.45">
      <c r="B26" s="29"/>
      <c r="C26" s="17"/>
      <c r="D26" s="487"/>
      <c r="E26" s="487"/>
      <c r="F26" s="487"/>
      <c r="G26" s="17"/>
      <c r="H26" s="56"/>
      <c r="I26" s="458"/>
      <c r="J26" s="458"/>
      <c r="K26" s="30"/>
      <c r="L26" s="31"/>
    </row>
    <row r="27" spans="2:15" ht="20.149999999999999" customHeight="1" thickBot="1" x14ac:dyDescent="0.5">
      <c r="B27" s="32"/>
      <c r="C27" s="33"/>
      <c r="D27" s="488"/>
      <c r="E27" s="488"/>
      <c r="F27" s="488"/>
      <c r="G27" s="33"/>
      <c r="H27" s="57"/>
      <c r="I27" s="459"/>
      <c r="J27" s="459"/>
      <c r="K27" s="34"/>
      <c r="L27" s="35"/>
    </row>
    <row r="28" spans="2:15" ht="20.149999999999999" customHeight="1" thickBot="1" x14ac:dyDescent="0.5">
      <c r="B28" s="36"/>
      <c r="L28" s="37"/>
    </row>
    <row r="29" spans="2:15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89" t="s">
        <v>13</v>
      </c>
      <c r="K29" s="490"/>
      <c r="L29" s="38">
        <f>SUM(L17:L27)</f>
        <v>120</v>
      </c>
      <c r="M29" s="63">
        <f>166+26</f>
        <v>192</v>
      </c>
    </row>
    <row r="30" spans="2:15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5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91" t="s">
        <v>19</v>
      </c>
      <c r="K31" s="492"/>
      <c r="L31" s="41">
        <f>L29-L30</f>
        <v>120</v>
      </c>
    </row>
    <row r="32" spans="2:15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10.799999999999999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85" t="s">
        <v>21</v>
      </c>
      <c r="K33" s="486"/>
      <c r="L33" s="43">
        <f>L31+L32</f>
        <v>130.80000000000001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8">
    <mergeCell ref="I18:J1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J33:K33"/>
    <mergeCell ref="D25:F25"/>
    <mergeCell ref="I25:J25"/>
    <mergeCell ref="D26:F26"/>
    <mergeCell ref="I26:J26"/>
    <mergeCell ref="D27:F27"/>
    <mergeCell ref="I27:J27"/>
    <mergeCell ref="B1:L8"/>
    <mergeCell ref="D24:F24"/>
    <mergeCell ref="I24:J24"/>
    <mergeCell ref="J29:K29"/>
    <mergeCell ref="J31:K31"/>
    <mergeCell ref="D21:F21"/>
    <mergeCell ref="I21:J21"/>
    <mergeCell ref="D22:F22"/>
    <mergeCell ref="I22:J22"/>
    <mergeCell ref="D23:F23"/>
    <mergeCell ref="I23:J23"/>
    <mergeCell ref="D19:F19"/>
    <mergeCell ref="I19:J19"/>
    <mergeCell ref="D20:F20"/>
    <mergeCell ref="I20:J20"/>
    <mergeCell ref="D18:F18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24996-84EF-4DA4-97C0-2AE7F8AF173C}">
  <sheetPr codeName="Sheet156">
    <tabColor rgb="FF7030A0"/>
    <pageSetUpPr fitToPage="1"/>
  </sheetPr>
  <dimension ref="B1:U43"/>
  <sheetViews>
    <sheetView topLeftCell="A9" workbookViewId="0">
      <selection activeCell="K18" sqref="K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21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21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  <c r="N2" s="212"/>
      <c r="O2" s="520"/>
      <c r="P2" s="520"/>
      <c r="Q2" s="520"/>
      <c r="R2" s="30"/>
      <c r="S2" s="186"/>
      <c r="T2" s="484"/>
      <c r="U2" s="484"/>
    </row>
    <row r="3" spans="2:21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  <c r="N3" s="212"/>
      <c r="O3" s="520"/>
      <c r="P3" s="520"/>
      <c r="Q3" s="520"/>
      <c r="R3" s="190"/>
      <c r="S3" s="196"/>
      <c r="T3" s="513"/>
      <c r="U3" s="513"/>
    </row>
    <row r="4" spans="2:21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  <c r="N4" s="212"/>
      <c r="O4" s="520"/>
      <c r="P4" s="520"/>
      <c r="Q4" s="520"/>
      <c r="R4" s="190"/>
      <c r="S4" s="196"/>
      <c r="T4" s="513"/>
      <c r="U4" s="513"/>
    </row>
    <row r="5" spans="2:21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21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21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21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21" ht="19" thickBot="1" x14ac:dyDescent="0.5">
      <c r="B9" s="18"/>
      <c r="N9" s="469" t="str">
        <f>VLOOKUP(H10,'Delivery Location'!A$4:V$466,2,0)</f>
        <v>TEL: 91548191                                                                                          462 Crawford Lane #01-61 Singapore 190462</v>
      </c>
      <c r="O9" s="470"/>
      <c r="P9" s="471"/>
    </row>
    <row r="10" spans="2:21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576</v>
      </c>
      <c r="J10" s="24" t="s">
        <v>27</v>
      </c>
      <c r="K10" s="464">
        <v>202307572</v>
      </c>
      <c r="L10" s="465"/>
      <c r="N10" s="472"/>
      <c r="O10" s="473"/>
      <c r="P10" s="474"/>
    </row>
    <row r="11" spans="2:21" ht="20.149999999999999" customHeight="1" x14ac:dyDescent="0.45">
      <c r="B11" s="466" t="s">
        <v>681</v>
      </c>
      <c r="C11" s="467"/>
      <c r="D11" s="468"/>
      <c r="E11" s="25"/>
      <c r="F11" s="469" t="str">
        <f>VLOOKUP(H10,'Delivery Location'!A$4:V$466,2,0)</f>
        <v>TEL: 91548191                                                                                          462 Crawford Lane #01-61 Singapore 190462</v>
      </c>
      <c r="G11" s="470"/>
      <c r="H11" s="471"/>
      <c r="J11" s="26" t="s">
        <v>9</v>
      </c>
      <c r="K11" s="478">
        <v>45497</v>
      </c>
      <c r="L11" s="479"/>
      <c r="N11" s="472"/>
      <c r="O11" s="473"/>
      <c r="P11" s="474"/>
    </row>
    <row r="12" spans="2:21" ht="20.149999999999999" customHeight="1" x14ac:dyDescent="0.45">
      <c r="B12" s="480" t="s">
        <v>682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472"/>
      <c r="O12" s="473"/>
      <c r="P12" s="474"/>
    </row>
    <row r="13" spans="2:21" ht="20.149999999999999" customHeight="1" thickBot="1" x14ac:dyDescent="0.5">
      <c r="B13" s="480"/>
      <c r="C13" s="453"/>
      <c r="D13" s="481"/>
      <c r="E13" s="25"/>
      <c r="F13" s="472"/>
      <c r="G13" s="473"/>
      <c r="H13" s="474"/>
      <c r="J13" s="26" t="s">
        <v>10</v>
      </c>
      <c r="K13" s="482" t="s">
        <v>421</v>
      </c>
      <c r="L13" s="483"/>
      <c r="N13" s="475"/>
      <c r="O13" s="476"/>
      <c r="P13" s="477"/>
    </row>
    <row r="14" spans="2:21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21" ht="18" customHeight="1" thickBot="1" x14ac:dyDescent="0.5">
      <c r="B15" s="50"/>
      <c r="C15" s="51"/>
      <c r="D15" s="52"/>
      <c r="E15" s="21"/>
      <c r="F15" s="475"/>
      <c r="G15" s="476"/>
      <c r="H15" s="477"/>
      <c r="J15" s="27" t="s">
        <v>11</v>
      </c>
      <c r="K15" s="495"/>
      <c r="L15" s="496"/>
    </row>
    <row r="16" spans="2:21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7" t="s">
        <v>386</v>
      </c>
      <c r="I17" s="460" t="s">
        <v>266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742</v>
      </c>
      <c r="D18" s="487" t="str">
        <f>VLOOKUP(C18,'Sales Master'!B$3:D$537,2,)</f>
        <v>Chin Chow powder 仙草粉</v>
      </c>
      <c r="E18" s="487"/>
      <c r="F18" s="487"/>
      <c r="G18" s="17">
        <v>4</v>
      </c>
      <c r="H18" s="188" t="str">
        <f>VLOOKUP(C18,'Sales Master'!$B$3:$F$537,5,0)</f>
        <v>2 KG (20 X 100GM)/ Pkt包</v>
      </c>
      <c r="I18" s="484" t="str">
        <f>VLOOKUP(C18,'Sales Master'!$B$3:$E$537,4,0)</f>
        <v>-</v>
      </c>
      <c r="J18" s="484"/>
      <c r="K18" s="83">
        <f>VLOOKUP(C18,'Sales Master'!$B$3:$BG$2402,58,0)</f>
        <v>28</v>
      </c>
      <c r="L18" s="64">
        <f>K18*G18</f>
        <v>112</v>
      </c>
      <c r="M18" s="65"/>
      <c r="N18" s="145">
        <f>VLOOKUP(C18,'Sales Master'!$B$3:$DA$2279,104,0)</f>
        <v>18.600000000000001</v>
      </c>
      <c r="O18" s="145">
        <f>K18-N18</f>
        <v>9.3999999999999986</v>
      </c>
      <c r="P18" s="145">
        <f>O18*G18</f>
        <v>37.599999999999994</v>
      </c>
    </row>
    <row r="19" spans="2:16" ht="20.149999999999999" customHeight="1" x14ac:dyDescent="0.45">
      <c r="B19" s="29"/>
      <c r="C19" s="17"/>
      <c r="D19" s="487"/>
      <c r="E19" s="487"/>
      <c r="F19" s="487"/>
      <c r="G19" s="17"/>
      <c r="H19" s="56"/>
      <c r="I19" s="458"/>
      <c r="J19" s="458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87"/>
      <c r="E20" s="487"/>
      <c r="F20" s="487"/>
      <c r="G20" s="17"/>
      <c r="H20" s="56"/>
      <c r="I20" s="458"/>
      <c r="J20" s="458"/>
      <c r="K20" s="30"/>
      <c r="L20" s="64"/>
      <c r="M20" s="65"/>
    </row>
    <row r="21" spans="2:16" ht="20.149999999999999" customHeight="1" x14ac:dyDescent="0.45">
      <c r="B21" s="29"/>
      <c r="C21" s="17"/>
      <c r="D21" s="487"/>
      <c r="E21" s="487"/>
      <c r="F21" s="487"/>
      <c r="G21" s="17"/>
      <c r="H21" s="56"/>
      <c r="I21" s="458"/>
      <c r="J21" s="458"/>
      <c r="K21" s="30"/>
      <c r="L21" s="64"/>
      <c r="M21" s="65"/>
    </row>
    <row r="22" spans="2:16" ht="20.149999999999999" customHeight="1" x14ac:dyDescent="0.45">
      <c r="B22" s="29"/>
      <c r="C22" s="17"/>
      <c r="D22" s="487"/>
      <c r="E22" s="487"/>
      <c r="F22" s="487"/>
      <c r="G22" s="17"/>
      <c r="H22" s="56"/>
      <c r="I22" s="458"/>
      <c r="J22" s="458"/>
      <c r="K22" s="30"/>
      <c r="L22" s="64"/>
      <c r="M22" s="65"/>
    </row>
    <row r="23" spans="2:16" ht="20.149999999999999" customHeight="1" x14ac:dyDescent="0.45">
      <c r="B23" s="29"/>
      <c r="C23" s="149" t="s">
        <v>2133</v>
      </c>
      <c r="D23" s="403"/>
      <c r="E23" s="403"/>
      <c r="F23" s="403"/>
      <c r="G23" s="151"/>
      <c r="H23" s="186"/>
      <c r="I23" s="484"/>
      <c r="J23" s="484"/>
      <c r="K23" s="190"/>
      <c r="L23" s="64"/>
      <c r="M23" s="65"/>
    </row>
    <row r="24" spans="2:16" ht="20.149999999999999" customHeight="1" x14ac:dyDescent="0.45">
      <c r="B24" s="29"/>
      <c r="C24" s="212" t="s">
        <v>866</v>
      </c>
      <c r="D24" s="147" t="e">
        <f>VLOOKUP(C24,#REF!,2,0)</f>
        <v>#REF!</v>
      </c>
      <c r="E24" s="147"/>
      <c r="F24" s="147"/>
      <c r="G24" s="17">
        <v>1</v>
      </c>
      <c r="H24" s="186" t="e">
        <f>VLOOKUP(C24,#REF!,5,0)</f>
        <v>#REF!</v>
      </c>
      <c r="I24" s="208" t="e">
        <f>VLOOKUP(C24,#REF!,4,0)</f>
        <v>#REF!</v>
      </c>
      <c r="J24" s="208"/>
      <c r="K24" s="190">
        <v>9.5</v>
      </c>
      <c r="L24" s="64"/>
      <c r="M24" s="65"/>
    </row>
    <row r="25" spans="2:16" ht="20.149999999999999" customHeight="1" x14ac:dyDescent="0.45">
      <c r="B25" s="29"/>
      <c r="C25" s="153"/>
      <c r="D25" s="147"/>
      <c r="E25" s="147"/>
      <c r="F25" s="147"/>
      <c r="G25" s="76"/>
      <c r="H25" s="56"/>
      <c r="I25" s="56"/>
      <c r="J25" s="56"/>
      <c r="K25" s="190"/>
      <c r="L25" s="64"/>
      <c r="M25" s="65"/>
    </row>
    <row r="26" spans="2:16" ht="20.149999999999999" customHeight="1" x14ac:dyDescent="0.45">
      <c r="B26" s="29"/>
      <c r="L26" s="64"/>
      <c r="M26" s="65"/>
    </row>
    <row r="27" spans="2:16" ht="20.149999999999999" customHeight="1" x14ac:dyDescent="0.45">
      <c r="B27" s="29"/>
      <c r="L27" s="64"/>
      <c r="M27" s="65"/>
    </row>
    <row r="28" spans="2:16" ht="20.149999999999999" customHeight="1" x14ac:dyDescent="0.45">
      <c r="B28" s="29"/>
      <c r="C28" s="17"/>
      <c r="D28" s="487"/>
      <c r="E28" s="487"/>
      <c r="F28" s="487"/>
      <c r="G28" s="17"/>
      <c r="H28" s="56"/>
      <c r="I28" s="458"/>
      <c r="J28" s="458"/>
      <c r="K28" s="30"/>
      <c r="L28" s="31"/>
    </row>
    <row r="29" spans="2:16" ht="20.149999999999999" customHeight="1" thickBot="1" x14ac:dyDescent="0.5">
      <c r="B29" s="32"/>
      <c r="C29" s="33"/>
      <c r="D29" s="488"/>
      <c r="E29" s="488"/>
      <c r="F29" s="488"/>
      <c r="G29" s="33"/>
      <c r="H29" s="57"/>
      <c r="I29" s="459"/>
      <c r="J29" s="459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89" t="s">
        <v>13</v>
      </c>
      <c r="K31" s="490"/>
      <c r="L31" s="38">
        <f>SUM(L17:L29)</f>
        <v>112</v>
      </c>
      <c r="M31" s="63">
        <f>SUM(P18:P28)</f>
        <v>37.599999999999994</v>
      </c>
      <c r="N31" s="133">
        <f>M31/L31</f>
        <v>0.33571428571428569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91" t="s">
        <v>19</v>
      </c>
      <c r="K33" s="492"/>
      <c r="L33" s="41">
        <f>L31-L32</f>
        <v>112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10.08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85" t="s">
        <v>21</v>
      </c>
      <c r="K35" s="486"/>
      <c r="L35" s="43">
        <f>L33+L34</f>
        <v>122.08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9">
    <mergeCell ref="O2:Q2"/>
    <mergeCell ref="T2:U2"/>
    <mergeCell ref="B1:L8"/>
    <mergeCell ref="D17:F17"/>
    <mergeCell ref="I17:J17"/>
    <mergeCell ref="O3:Q3"/>
    <mergeCell ref="T3:U3"/>
    <mergeCell ref="F11:H15"/>
    <mergeCell ref="K11:L11"/>
    <mergeCell ref="B12:D12"/>
    <mergeCell ref="K12:L12"/>
    <mergeCell ref="B13:D13"/>
    <mergeCell ref="K13:L13"/>
    <mergeCell ref="B14:D14"/>
    <mergeCell ref="K14:L14"/>
    <mergeCell ref="O4:Q4"/>
    <mergeCell ref="T4:U4"/>
    <mergeCell ref="D28:F28"/>
    <mergeCell ref="I28:J28"/>
    <mergeCell ref="I18:J18"/>
    <mergeCell ref="D19:F19"/>
    <mergeCell ref="I19:J19"/>
    <mergeCell ref="N9:P13"/>
    <mergeCell ref="D20:F20"/>
    <mergeCell ref="I20:J20"/>
    <mergeCell ref="D18:F18"/>
    <mergeCell ref="K10:L10"/>
    <mergeCell ref="B11:D11"/>
    <mergeCell ref="D21:F21"/>
    <mergeCell ref="I21:J21"/>
    <mergeCell ref="D22:F22"/>
    <mergeCell ref="I22:J22"/>
    <mergeCell ref="K15:L15"/>
    <mergeCell ref="J35:K35"/>
    <mergeCell ref="J31:K31"/>
    <mergeCell ref="J33:K33"/>
    <mergeCell ref="D29:F29"/>
    <mergeCell ref="I29:J29"/>
    <mergeCell ref="I23:J23"/>
  </mergeCells>
  <conditionalFormatting sqref="C23">
    <cfRule type="duplicateValues" dxfId="160" priority="1"/>
  </conditionalFormatting>
  <conditionalFormatting sqref="C25 N3:N4">
    <cfRule type="duplicateValues" dxfId="159" priority="4"/>
  </conditionalFormatting>
  <pageMargins left="0.70866141732283472" right="0.31496062992125984" top="0.59055118110236227" bottom="0" header="0.31496062992125984" footer="0.31496062992125984"/>
  <pageSetup paperSize="9" scale="78" orientation="portrait" horizontalDpi="300" verticalDpi="300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ED3FD-E014-4BAD-900E-52A9047E0E4D}">
  <sheetPr codeName="Sheet122">
    <tabColor rgb="FFFFC000"/>
    <pageSetUpPr fitToPage="1"/>
  </sheetPr>
  <dimension ref="B1:W45"/>
  <sheetViews>
    <sheetView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54296875" style="19" customWidth="1"/>
    <col min="9" max="9" width="1.45312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579</v>
      </c>
      <c r="J10" s="24" t="s">
        <v>27</v>
      </c>
      <c r="K10" s="464">
        <v>202305210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Koufu Yew Tee Point                                21, Choa Chu Kang North 6, #B1-17 to 22 Yew Tee Point.  Singapore 689578  (Dessert)</v>
      </c>
      <c r="G11" s="470"/>
      <c r="H11" s="471"/>
      <c r="J11" s="26" t="s">
        <v>9</v>
      </c>
      <c r="K11" s="478">
        <v>45056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2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7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3" ht="20.149999999999999" customHeight="1" x14ac:dyDescent="0.45">
      <c r="B18" s="29"/>
      <c r="C18" s="147" t="s">
        <v>812</v>
      </c>
      <c r="D18" s="487" t="str">
        <f>VLOOKUP(C18,'Sales Master'!B$3:D$537,2,)</f>
        <v>Red Bean 红豆 (5.5 mm)</v>
      </c>
      <c r="E18" s="487"/>
      <c r="F18" s="487"/>
      <c r="G18" s="17">
        <v>2</v>
      </c>
      <c r="H18" s="186" t="str">
        <f>VLOOKUP(C18,'Sales Master'!$B$3:$F$2488,5,0)</f>
        <v>5 KG</v>
      </c>
      <c r="I18" s="484" t="str">
        <f>VLOOKUP(C18,'Sales Master'!$B$3:$E$2488,4,0)</f>
        <v>-</v>
      </c>
      <c r="J18" s="484"/>
      <c r="K18" s="30">
        <f>VLOOKUP(C18,'Sales Master'!B$3:J$537,9,0)</f>
        <v>17.5</v>
      </c>
      <c r="L18" s="64">
        <f t="shared" ref="L18:L23" si="0">K18*G18</f>
        <v>35</v>
      </c>
      <c r="M18" s="65"/>
      <c r="N18" s="145">
        <f>VLOOKUP(C18,'Sales Master'!$B$3:$DA$2279,104,0)</f>
        <v>12.5</v>
      </c>
      <c r="O18" s="145">
        <f t="shared" ref="O18:O23" si="1">K18-N18</f>
        <v>5</v>
      </c>
      <c r="P18" s="145">
        <f t="shared" ref="P18:P23" si="2">O18*G18</f>
        <v>10</v>
      </c>
    </row>
    <row r="19" spans="2:23" ht="20.149999999999999" customHeight="1" x14ac:dyDescent="0.45">
      <c r="B19" s="29"/>
      <c r="C19" s="147" t="s">
        <v>825</v>
      </c>
      <c r="D19" s="487" t="str">
        <f>VLOOKUP(C19,'Sales Master'!B$3:D$537,2,)</f>
        <v>Green Bean 绿豆</v>
      </c>
      <c r="E19" s="487"/>
      <c r="F19" s="487"/>
      <c r="G19" s="17">
        <v>2</v>
      </c>
      <c r="H19" s="186" t="str">
        <f>VLOOKUP(C19,'Sales Master'!$B$3:$F$2488,5,0)</f>
        <v>5 KG</v>
      </c>
      <c r="I19" s="484" t="str">
        <f>VLOOKUP(C19,'Sales Master'!$B$3:$E$2488,4,0)</f>
        <v>-</v>
      </c>
      <c r="J19" s="484"/>
      <c r="K19" s="30">
        <f>VLOOKUP(C19,'Sales Master'!B$3:J$537,9,0)</f>
        <v>13</v>
      </c>
      <c r="L19" s="64">
        <f t="shared" si="0"/>
        <v>26</v>
      </c>
      <c r="M19" s="65"/>
      <c r="N19" s="145">
        <f>VLOOKUP(C19,'Sales Master'!$B$3:$DA$2279,104,0)</f>
        <v>8.75</v>
      </c>
      <c r="O19" s="145">
        <f t="shared" si="1"/>
        <v>4.25</v>
      </c>
      <c r="P19" s="145">
        <f t="shared" si="2"/>
        <v>8.5</v>
      </c>
      <c r="R19" s="19">
        <v>2</v>
      </c>
      <c r="S19" s="19" t="s">
        <v>54</v>
      </c>
      <c r="T19" s="19" t="s">
        <v>328</v>
      </c>
      <c r="V19" s="19">
        <v>9</v>
      </c>
      <c r="W19" s="19">
        <v>18</v>
      </c>
    </row>
    <row r="20" spans="2:23" ht="20.149999999999999" customHeight="1" x14ac:dyDescent="0.45">
      <c r="B20" s="29"/>
      <c r="C20" s="147" t="s">
        <v>837</v>
      </c>
      <c r="D20" s="487" t="str">
        <f>VLOOKUP(C20,'Sales Master'!B$3:D$537,2,)</f>
        <v>Black Glutinous Rice 黑糯米</v>
      </c>
      <c r="E20" s="487"/>
      <c r="F20" s="487"/>
      <c r="G20" s="17">
        <v>2</v>
      </c>
      <c r="H20" s="186" t="str">
        <f>VLOOKUP(C20,'Sales Master'!$B$3:$F$2488,5,0)</f>
        <v>5 KGS</v>
      </c>
      <c r="I20" s="484" t="str">
        <f>VLOOKUP(C20,'Sales Master'!$B$3:$E$2488,4,0)</f>
        <v>-</v>
      </c>
      <c r="J20" s="484"/>
      <c r="K20" s="30">
        <f>VLOOKUP(C20,'Sales Master'!B$3:J$537,9,0)</f>
        <v>18</v>
      </c>
      <c r="L20" s="64">
        <f t="shared" si="0"/>
        <v>36</v>
      </c>
      <c r="M20" s="65"/>
      <c r="N20" s="145">
        <f>VLOOKUP(C20,'Sales Master'!$B$3:$DA$2279,104,0)</f>
        <v>12</v>
      </c>
      <c r="O20" s="145">
        <f t="shared" si="1"/>
        <v>6</v>
      </c>
      <c r="P20" s="145">
        <f t="shared" si="2"/>
        <v>12</v>
      </c>
      <c r="R20" s="19">
        <v>1</v>
      </c>
      <c r="S20" s="19" t="s">
        <v>367</v>
      </c>
      <c r="T20" s="19" t="s">
        <v>429</v>
      </c>
      <c r="V20" s="19">
        <v>32</v>
      </c>
      <c r="W20" s="19">
        <v>32</v>
      </c>
    </row>
    <row r="21" spans="2:23" ht="20.149999999999999" customHeight="1" x14ac:dyDescent="0.45">
      <c r="B21" s="29"/>
      <c r="C21" s="147" t="s">
        <v>966</v>
      </c>
      <c r="D21" s="487" t="str">
        <f>VLOOKUP(C21,'Sales Master'!B$3:D$537,2,)</f>
        <v>Coconut Milk 椰浆</v>
      </c>
      <c r="E21" s="487"/>
      <c r="F21" s="487"/>
      <c r="G21" s="17">
        <v>1</v>
      </c>
      <c r="H21" s="186" t="str">
        <f>VLOOKUP(C21,'Sales Master'!$B$3:$F$2488,5,0)</f>
        <v>(1L x 12bag)/箱</v>
      </c>
      <c r="I21" s="484" t="str">
        <f>VLOOKUP(C21,'Sales Master'!$B$3:$E$2488,4,0)</f>
        <v>Kara UHT</v>
      </c>
      <c r="J21" s="484"/>
      <c r="K21" s="30">
        <f>VLOOKUP(C21,'Sales Master'!B$3:J$537,9,0)</f>
        <v>54</v>
      </c>
      <c r="L21" s="64">
        <f t="shared" si="0"/>
        <v>54</v>
      </c>
      <c r="M21" s="65"/>
      <c r="N21" s="145">
        <f>VLOOKUP(C21,'Sales Master'!$B$3:$DA$2279,104,0)</f>
        <v>35.799999999999997</v>
      </c>
      <c r="O21" s="145">
        <f t="shared" si="1"/>
        <v>18.200000000000003</v>
      </c>
      <c r="P21" s="145">
        <f t="shared" si="2"/>
        <v>18.200000000000003</v>
      </c>
      <c r="R21" s="19">
        <v>1</v>
      </c>
      <c r="S21" s="19" t="s">
        <v>367</v>
      </c>
      <c r="T21" s="19" t="s">
        <v>431</v>
      </c>
      <c r="V21" s="19">
        <v>26</v>
      </c>
      <c r="W21" s="19">
        <v>26</v>
      </c>
    </row>
    <row r="22" spans="2:23" ht="20.149999999999999" customHeight="1" x14ac:dyDescent="0.45">
      <c r="B22" s="29"/>
      <c r="C22" s="147" t="s">
        <v>1003</v>
      </c>
      <c r="D22" s="487" t="str">
        <f>VLOOKUP(C22,'Sales Master'!B$3:D$537,2,)</f>
        <v>Tapioca木薯</v>
      </c>
      <c r="E22" s="487"/>
      <c r="F22" s="487"/>
      <c r="G22" s="17">
        <v>20</v>
      </c>
      <c r="H22" s="186" t="str">
        <f>VLOOKUP(C22,'Sales Master'!$B$3:$F$2488,5,0)</f>
        <v>1 KG</v>
      </c>
      <c r="I22" s="484" t="str">
        <f>VLOOKUP(C22,'Sales Master'!$B$3:$E$2488,4,0)</f>
        <v>-</v>
      </c>
      <c r="J22" s="484"/>
      <c r="K22" s="30">
        <f>VLOOKUP(C22,'Sales Master'!B$3:J$537,9,0)</f>
        <v>1.8</v>
      </c>
      <c r="L22" s="64">
        <f t="shared" si="0"/>
        <v>36</v>
      </c>
      <c r="M22" s="65"/>
      <c r="N22" s="145">
        <f>VLOOKUP(C22,'Sales Master'!$B$3:$DA$2279,104,0)</f>
        <v>1.1000000000000001</v>
      </c>
      <c r="O22" s="145">
        <f t="shared" si="1"/>
        <v>0.7</v>
      </c>
      <c r="P22" s="145">
        <f t="shared" si="2"/>
        <v>14</v>
      </c>
      <c r="R22" s="19">
        <v>1</v>
      </c>
      <c r="S22" s="19" t="s">
        <v>367</v>
      </c>
      <c r="T22" s="19" t="s">
        <v>431</v>
      </c>
      <c r="V22" s="19">
        <v>34</v>
      </c>
      <c r="W22" s="19">
        <v>34</v>
      </c>
    </row>
    <row r="23" spans="2:23" ht="20.149999999999999" customHeight="1" x14ac:dyDescent="0.45">
      <c r="B23" s="29"/>
      <c r="C23" s="147" t="s">
        <v>1009</v>
      </c>
      <c r="D23" s="487" t="str">
        <f>VLOOKUP(C23,'Sales Master'!B$3:D$537,2,)</f>
        <v>Pandan Leaf 班兰叶</v>
      </c>
      <c r="E23" s="487"/>
      <c r="F23" s="487"/>
      <c r="G23" s="17">
        <v>1</v>
      </c>
      <c r="H23" s="186" t="str">
        <f>VLOOKUP(C23,'Sales Master'!$B$3:$F$2488,5,0)</f>
        <v>1 KG</v>
      </c>
      <c r="I23" s="484" t="str">
        <f>VLOOKUP(C23,'Sales Master'!$B$3:$E$2488,4,0)</f>
        <v>-</v>
      </c>
      <c r="J23" s="484"/>
      <c r="K23" s="30">
        <f>VLOOKUP(C23,'Sales Master'!B$3:J$537,9,0)</f>
        <v>1.8</v>
      </c>
      <c r="L23" s="64">
        <f t="shared" si="0"/>
        <v>1.8</v>
      </c>
      <c r="M23" s="65"/>
      <c r="N23" s="145">
        <f>VLOOKUP(C23,'Sales Master'!$B$3:$DA$2279,104,0)</f>
        <v>1.1000000000000001</v>
      </c>
      <c r="O23" s="145">
        <f t="shared" si="1"/>
        <v>0.7</v>
      </c>
      <c r="P23" s="145">
        <f t="shared" si="2"/>
        <v>0.7</v>
      </c>
      <c r="R23" s="19">
        <v>1</v>
      </c>
      <c r="S23" s="19" t="s">
        <v>52</v>
      </c>
      <c r="T23" s="19" t="s">
        <v>432</v>
      </c>
      <c r="V23" s="19">
        <v>41</v>
      </c>
      <c r="W23" s="19">
        <v>123</v>
      </c>
    </row>
    <row r="24" spans="2:23" ht="20.149999999999999" customHeight="1" x14ac:dyDescent="0.45">
      <c r="B24" s="29"/>
      <c r="C24" s="17"/>
      <c r="D24" s="487"/>
      <c r="E24" s="487"/>
      <c r="F24" s="487"/>
      <c r="G24" s="17"/>
      <c r="H24" s="186"/>
      <c r="I24" s="484"/>
      <c r="J24" s="484"/>
      <c r="K24" s="30"/>
      <c r="L24" s="64"/>
      <c r="M24" s="65"/>
      <c r="N24" s="145"/>
      <c r="O24" s="145"/>
      <c r="P24" s="145"/>
      <c r="R24" s="19">
        <v>1</v>
      </c>
      <c r="S24" s="19" t="s">
        <v>34</v>
      </c>
      <c r="T24" s="19" t="s">
        <v>79</v>
      </c>
      <c r="V24" s="19">
        <v>12</v>
      </c>
      <c r="W24" s="19">
        <v>12</v>
      </c>
    </row>
    <row r="25" spans="2:23" ht="20.149999999999999" customHeight="1" x14ac:dyDescent="0.45">
      <c r="B25" s="29"/>
      <c r="C25" s="17"/>
      <c r="D25" s="487"/>
      <c r="E25" s="487"/>
      <c r="F25" s="487"/>
      <c r="G25" s="17"/>
      <c r="H25" s="186"/>
      <c r="I25" s="484"/>
      <c r="J25" s="484"/>
      <c r="K25" s="30"/>
      <c r="L25" s="64"/>
      <c r="M25" s="65"/>
      <c r="N25" s="145"/>
      <c r="O25" s="145"/>
      <c r="P25" s="145"/>
      <c r="R25" s="19">
        <v>1</v>
      </c>
      <c r="S25" s="19" t="s">
        <v>34</v>
      </c>
      <c r="T25" s="19" t="s">
        <v>59</v>
      </c>
      <c r="V25" s="19">
        <v>6</v>
      </c>
      <c r="W25" s="19">
        <v>12</v>
      </c>
    </row>
    <row r="26" spans="2:23" ht="20.149999999999999" customHeight="1" x14ac:dyDescent="0.45">
      <c r="B26" s="29"/>
      <c r="C26" s="17"/>
      <c r="D26" s="487"/>
      <c r="E26" s="487"/>
      <c r="F26" s="487"/>
      <c r="G26" s="17"/>
      <c r="H26" s="56"/>
      <c r="I26" s="458"/>
      <c r="J26" s="458"/>
      <c r="K26" s="30"/>
      <c r="L26" s="64"/>
      <c r="M26" s="65"/>
      <c r="R26" s="19">
        <v>20</v>
      </c>
      <c r="S26" s="19" t="s">
        <v>34</v>
      </c>
      <c r="T26" s="19" t="s">
        <v>32</v>
      </c>
      <c r="V26" s="19">
        <v>1.8</v>
      </c>
      <c r="W26" s="19">
        <v>36</v>
      </c>
    </row>
    <row r="27" spans="2:23" ht="20.149999999999999" customHeight="1" x14ac:dyDescent="0.45">
      <c r="B27" s="29"/>
      <c r="C27" s="17"/>
      <c r="D27" s="487"/>
      <c r="E27" s="487"/>
      <c r="F27" s="487"/>
      <c r="G27" s="17"/>
      <c r="H27" s="56"/>
      <c r="I27" s="458"/>
      <c r="J27" s="458"/>
      <c r="K27" s="30"/>
      <c r="L27" s="64"/>
      <c r="M27" s="65"/>
    </row>
    <row r="28" spans="2:23" ht="20.149999999999999" customHeight="1" x14ac:dyDescent="0.45">
      <c r="B28" s="29"/>
      <c r="C28" s="17"/>
      <c r="D28" s="487"/>
      <c r="E28" s="487"/>
      <c r="F28" s="487"/>
      <c r="G28" s="17"/>
      <c r="H28" s="56"/>
      <c r="I28" s="458"/>
      <c r="J28" s="458"/>
      <c r="K28" s="30"/>
      <c r="L28" s="64"/>
      <c r="M28" s="65"/>
    </row>
    <row r="29" spans="2:23" ht="20.149999999999999" customHeight="1" x14ac:dyDescent="0.45">
      <c r="B29" s="29"/>
      <c r="C29" s="17"/>
      <c r="D29" s="487"/>
      <c r="E29" s="487"/>
      <c r="F29" s="487"/>
      <c r="G29" s="17"/>
      <c r="H29" s="56"/>
      <c r="I29" s="458"/>
      <c r="J29" s="458"/>
      <c r="K29" s="30"/>
      <c r="L29" s="64"/>
      <c r="M29" s="65"/>
    </row>
    <row r="30" spans="2:23" ht="20.149999999999999" customHeight="1" x14ac:dyDescent="0.45">
      <c r="B30" s="29"/>
      <c r="C30" s="17"/>
      <c r="D30" s="487"/>
      <c r="E30" s="487"/>
      <c r="F30" s="487"/>
      <c r="G30" s="17"/>
      <c r="H30" s="56"/>
      <c r="I30" s="458"/>
      <c r="J30" s="458"/>
      <c r="K30" s="30"/>
      <c r="L30" s="31"/>
    </row>
    <row r="31" spans="2:23" ht="20.149999999999999" customHeight="1" thickBot="1" x14ac:dyDescent="0.5">
      <c r="B31" s="32"/>
      <c r="C31" s="33"/>
      <c r="D31" s="488"/>
      <c r="E31" s="488"/>
      <c r="F31" s="488"/>
      <c r="G31" s="33"/>
      <c r="H31" s="57"/>
      <c r="I31" s="459"/>
      <c r="J31" s="459"/>
      <c r="K31" s="34"/>
      <c r="L31" s="35"/>
    </row>
    <row r="32" spans="2:23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89" t="s">
        <v>13</v>
      </c>
      <c r="K33" s="490"/>
      <c r="L33" s="38">
        <f>SUM(L17:L31)</f>
        <v>188.8</v>
      </c>
      <c r="M33" s="63">
        <f>SUM(P18:P31)-L33*0.02</f>
        <v>59.624000000000002</v>
      </c>
      <c r="N33" s="133">
        <f>M33/L33</f>
        <v>0.31580508474576269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91" t="s">
        <v>19</v>
      </c>
      <c r="K35" s="492"/>
      <c r="L35" s="41">
        <f>L33-L34</f>
        <v>188.8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16.992000000000001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85" t="s">
        <v>21</v>
      </c>
      <c r="K37" s="486"/>
      <c r="L37" s="43">
        <f>L35+L36</f>
        <v>205.792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6">
    <mergeCell ref="D28:F28"/>
    <mergeCell ref="I28:J28"/>
    <mergeCell ref="D23:F23"/>
    <mergeCell ref="I23:J23"/>
    <mergeCell ref="J33:K33"/>
    <mergeCell ref="D25:F25"/>
    <mergeCell ref="I25:J25"/>
    <mergeCell ref="D27:F27"/>
    <mergeCell ref="I27:J27"/>
    <mergeCell ref="J35:K35"/>
    <mergeCell ref="J37:K37"/>
    <mergeCell ref="D29:F29"/>
    <mergeCell ref="I29:J29"/>
    <mergeCell ref="D30:F30"/>
    <mergeCell ref="I30:J30"/>
    <mergeCell ref="D31:F31"/>
    <mergeCell ref="I31:J31"/>
    <mergeCell ref="B15:D15"/>
    <mergeCell ref="D26:F26"/>
    <mergeCell ref="I26:J26"/>
    <mergeCell ref="D24:F24"/>
    <mergeCell ref="I24:J24"/>
    <mergeCell ref="I19:J19"/>
    <mergeCell ref="I21:J21"/>
    <mergeCell ref="D22:F22"/>
    <mergeCell ref="I22:J22"/>
    <mergeCell ref="D19:F19"/>
    <mergeCell ref="D20:F20"/>
    <mergeCell ref="I20:J20"/>
    <mergeCell ref="D21:F21"/>
    <mergeCell ref="B1:L8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A2791-3F1D-464C-8931-3C0574114144}">
  <sheetPr>
    <tabColor rgb="FFFFC000"/>
    <pageSetUpPr fitToPage="1"/>
  </sheetPr>
  <dimension ref="A1:R51"/>
  <sheetViews>
    <sheetView topLeftCell="A20" zoomScaleNormal="100" workbookViewId="0">
      <selection activeCell="B1" sqref="B1:L50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1" width="12.6328125" style="19" customWidth="1"/>
    <col min="12" max="12" width="13.453125" style="19" bestFit="1" customWidth="1"/>
    <col min="13" max="13" width="19.7265625" style="19" customWidth="1"/>
    <col min="14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101</v>
      </c>
      <c r="J10" s="24" t="s">
        <v>27</v>
      </c>
      <c r="K10" s="464">
        <v>202504190</v>
      </c>
      <c r="L10" s="465"/>
    </row>
    <row r="11" spans="2:12" ht="20.149999999999999" customHeight="1" x14ac:dyDescent="0.45">
      <c r="B11" s="466" t="s">
        <v>678</v>
      </c>
      <c r="C11" s="467"/>
      <c r="D11" s="468"/>
      <c r="E11" s="25"/>
      <c r="F11" s="469" t="str">
        <f>VLOOKUP(H10,'Delivery Location'!A$4:N$466,2,0)</f>
        <v>Drink &amp; Dessert Stall                                         252 North Bridge Road.                                  #03-15/16/17 Raffles City Shopping Centre.  Singapore 189768.</v>
      </c>
      <c r="G11" s="470"/>
      <c r="H11" s="471"/>
      <c r="J11" s="26" t="s">
        <v>9</v>
      </c>
      <c r="K11" s="478">
        <v>45755</v>
      </c>
      <c r="L11" s="479"/>
    </row>
    <row r="12" spans="2:12" ht="20.149999999999999" customHeight="1" x14ac:dyDescent="0.45">
      <c r="B12" s="480" t="s">
        <v>524</v>
      </c>
      <c r="C12" s="453"/>
      <c r="D12" s="481"/>
      <c r="E12" s="25"/>
      <c r="F12" s="472"/>
      <c r="G12" s="473"/>
      <c r="H12" s="474"/>
      <c r="J12" s="26" t="s">
        <v>127</v>
      </c>
      <c r="K12" s="482">
        <v>4500362319</v>
      </c>
      <c r="L12" s="483"/>
    </row>
    <row r="13" spans="2:12" ht="20.149999999999999" customHeight="1" x14ac:dyDescent="0.45">
      <c r="B13" s="480" t="s">
        <v>525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609</v>
      </c>
      <c r="L13" s="483"/>
    </row>
    <row r="14" spans="2:12" ht="20.149999999999999" customHeight="1" x14ac:dyDescent="0.45">
      <c r="B14" s="480" t="s">
        <v>526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18" t="s">
        <v>527</v>
      </c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1:18" ht="20.149999999999999" customHeight="1" x14ac:dyDescent="0.45">
      <c r="A18" s="65"/>
      <c r="B18" s="58">
        <v>520704</v>
      </c>
      <c r="C18" s="212" t="str">
        <f>VLOOKUP(B18,'Sales Master'!A$3:B$537,2,0)</f>
        <v>M1014</v>
      </c>
      <c r="D18" s="487" t="str">
        <f>VLOOKUP(C18,'Sales Master'!B$3:D$537,2,)</f>
        <v>Chendol 浆咯</v>
      </c>
      <c r="E18" s="487"/>
      <c r="F18" s="487"/>
      <c r="G18" s="76">
        <v>2</v>
      </c>
      <c r="H18" s="247" t="str">
        <f>VLOOKUP(C18,'Sales Master'!$B$3:$F$2420,5,0)</f>
        <v>NW(2.2:0.8) 3kg/ Pkt包</v>
      </c>
      <c r="I18" s="513" t="str">
        <f>VLOOKUP(C18,'Sales Master'!$B$3:$E$2420,4,0)</f>
        <v>DO!</v>
      </c>
      <c r="J18" s="513"/>
      <c r="K18" s="83">
        <f>VLOOKUP(C18,'Sales Master'!B$3:I$537,8,0)</f>
        <v>7.5</v>
      </c>
      <c r="L18" s="84">
        <f t="shared" ref="L18" si="0">K18*G18</f>
        <v>15</v>
      </c>
      <c r="N18" s="145">
        <f>VLOOKUP(C18,'Sales Master'!$B$3:$DA$2279,104,0)</f>
        <v>2.44</v>
      </c>
      <c r="O18" s="145">
        <f t="shared" ref="O18" si="1">K18-N18</f>
        <v>5.0600000000000005</v>
      </c>
      <c r="P18" s="145">
        <f t="shared" ref="P18" si="2">O18*G18</f>
        <v>10.120000000000001</v>
      </c>
      <c r="Q18" s="63"/>
      <c r="R18" s="63">
        <f>N18*G18*0.07</f>
        <v>0.34160000000000001</v>
      </c>
    </row>
    <row r="19" spans="1:18" ht="20.149999999999999" customHeight="1" x14ac:dyDescent="0.45">
      <c r="A19" s="65"/>
      <c r="B19" s="58">
        <v>520695</v>
      </c>
      <c r="C19" s="212" t="str">
        <f>VLOOKUP(B19,'Sales Master'!A$3:B$537,2,0)</f>
        <v>P3001B</v>
      </c>
      <c r="D19" s="487" t="str">
        <f>VLOOKUP(C19,'Sales Master'!B$3:D$537,2,)</f>
        <v>Atap Seeds in Syrup 亚嗒子</v>
      </c>
      <c r="E19" s="487"/>
      <c r="F19" s="487"/>
      <c r="G19" s="76">
        <v>2</v>
      </c>
      <c r="H19" s="247" t="str">
        <f>VLOOKUP(C19,'Sales Master'!$B$3:$F$2420,5,0)</f>
        <v>NW(1.6:0.6) 2.2kg/ Bag包</v>
      </c>
      <c r="I19" s="513" t="str">
        <f>VLOOKUP(C19,'Sales Master'!$B$3:$E$2420,4,0)</f>
        <v>DO!</v>
      </c>
      <c r="J19" s="513"/>
      <c r="K19" s="83">
        <f>VLOOKUP(C19,'Sales Master'!B$3:I$537,8,0)</f>
        <v>10</v>
      </c>
      <c r="L19" s="84">
        <f>K19*G19</f>
        <v>20</v>
      </c>
      <c r="N19" s="145">
        <f>VLOOKUP(C19,'Sales Master'!$B$3:$DA$2279,104,0)</f>
        <v>7.3</v>
      </c>
      <c r="O19" s="145">
        <f>K19-N19</f>
        <v>2.7</v>
      </c>
      <c r="P19" s="145">
        <f>O19*G19</f>
        <v>5.4</v>
      </c>
      <c r="Q19" s="63"/>
      <c r="R19" s="63"/>
    </row>
    <row r="20" spans="1:18" ht="20.149999999999999" customHeight="1" x14ac:dyDescent="0.45">
      <c r="A20" s="65"/>
      <c r="B20" s="58">
        <v>520721</v>
      </c>
      <c r="C20" s="212" t="str">
        <f>VLOOKUP(B20,'Sales Master'!A$3:B$537,2,0)</f>
        <v>P3004A</v>
      </c>
      <c r="D20" s="487" t="str">
        <f>VLOOKUP(C20,'Sales Master'!B$3:D$537,2,)</f>
        <v>GingKo Nut (Peel off) 白果仁</v>
      </c>
      <c r="E20" s="487"/>
      <c r="F20" s="487"/>
      <c r="G20" s="76">
        <v>2</v>
      </c>
      <c r="H20" s="247" t="str">
        <f>VLOOKUP(C20,'Sales Master'!$B$3:$F$2420,5,0)</f>
        <v>1 KG (500 GM X 2)</v>
      </c>
      <c r="I20" s="513" t="str">
        <f>VLOOKUP(C20,'Sales Master'!$B$3:$E$2420,4,0)</f>
        <v>-</v>
      </c>
      <c r="J20" s="513"/>
      <c r="K20" s="83">
        <f>VLOOKUP(C20,'Sales Master'!B$3:I$537,8,0)</f>
        <v>4.5</v>
      </c>
      <c r="L20" s="84">
        <f>K20*G20</f>
        <v>9</v>
      </c>
      <c r="N20" s="145">
        <f>VLOOKUP(C20,'Sales Master'!$B$3:$DA$2279,104,0)</f>
        <v>3</v>
      </c>
      <c r="O20" s="145">
        <f>K20-N20</f>
        <v>1.5</v>
      </c>
      <c r="P20" s="145">
        <f>O20*G20</f>
        <v>3</v>
      </c>
      <c r="Q20" s="63"/>
      <c r="R20" s="63"/>
    </row>
    <row r="21" spans="1:18" ht="20.149999999999999" customHeight="1" x14ac:dyDescent="0.45">
      <c r="A21" s="65"/>
      <c r="B21" s="58">
        <v>520738</v>
      </c>
      <c r="C21" s="212" t="str">
        <f>VLOOKUP(B21,'Sales Master'!A$3:B$537,2,0)</f>
        <v>P3005A</v>
      </c>
      <c r="D21" s="487" t="str">
        <f>VLOOKUP(C21,'Sales Master'!B$3:D$537,2,)</f>
        <v>Red Bean 红豆 (5.5 mm)</v>
      </c>
      <c r="E21" s="487"/>
      <c r="F21" s="487"/>
      <c r="G21" s="76">
        <v>1</v>
      </c>
      <c r="H21" s="247" t="str">
        <f>VLOOKUP(C21,'Sales Master'!$B$3:$F$2420,5,0)</f>
        <v>5 KG</v>
      </c>
      <c r="I21" s="513" t="str">
        <f>VLOOKUP(C21,'Sales Master'!$B$3:$E$2420,4,0)</f>
        <v>-</v>
      </c>
      <c r="J21" s="513"/>
      <c r="K21" s="83">
        <f>VLOOKUP(C21,'Sales Master'!B$3:I$537,8,0)</f>
        <v>17.5</v>
      </c>
      <c r="L21" s="84">
        <f>K21*G21</f>
        <v>17.5</v>
      </c>
      <c r="N21" s="145">
        <f>VLOOKUP(C21,'Sales Master'!$B$3:$DA$2279,104,0)</f>
        <v>12.5</v>
      </c>
      <c r="O21" s="145">
        <f>K21-N21</f>
        <v>5</v>
      </c>
      <c r="P21" s="145">
        <f>O21*G21</f>
        <v>5</v>
      </c>
      <c r="Q21" s="63"/>
      <c r="R21" s="63"/>
    </row>
    <row r="22" spans="1:18" ht="20.149999999999999" customHeight="1" x14ac:dyDescent="0.45">
      <c r="A22" s="65"/>
      <c r="B22" s="58">
        <v>520724</v>
      </c>
      <c r="C22" s="212" t="str">
        <f>VLOOKUP(B22,'Sales Master'!A$3:B$537,2,0)</f>
        <v>P3009A</v>
      </c>
      <c r="D22" s="487" t="str">
        <f>VLOOKUP(C22,'Sales Master'!B$3:D$537,2,)</f>
        <v>Green Bean 绿豆</v>
      </c>
      <c r="E22" s="487"/>
      <c r="F22" s="487"/>
      <c r="G22" s="76">
        <v>1</v>
      </c>
      <c r="H22" s="247" t="str">
        <f>VLOOKUP(C22,'Sales Master'!$B$3:$F$2420,5,0)</f>
        <v>5 KG</v>
      </c>
      <c r="I22" s="513" t="str">
        <f>VLOOKUP(C22,'Sales Master'!$B$3:$E$2420,4,0)</f>
        <v>-</v>
      </c>
      <c r="J22" s="513"/>
      <c r="K22" s="83">
        <f>VLOOKUP(C22,'Sales Master'!B$3:I$537,8,0)</f>
        <v>13</v>
      </c>
      <c r="L22" s="84">
        <f>K22*G22</f>
        <v>13</v>
      </c>
      <c r="N22" s="145">
        <f>VLOOKUP(C22,'Sales Master'!$B$3:$DA$2279,104,0)</f>
        <v>8.75</v>
      </c>
      <c r="O22" s="145">
        <f>K22-N22</f>
        <v>4.25</v>
      </c>
      <c r="P22" s="145">
        <f>O22*G22</f>
        <v>4.25</v>
      </c>
      <c r="Q22" s="63"/>
      <c r="R22" s="63"/>
    </row>
    <row r="23" spans="1:18" ht="20.149999999999999" customHeight="1" x14ac:dyDescent="0.45">
      <c r="A23" s="65"/>
      <c r="B23" s="58">
        <v>520698</v>
      </c>
      <c r="C23" s="212" t="str">
        <f>VLOOKUP(B23,'Sales Master'!A$3:B$537,2,0)</f>
        <v>P3013A</v>
      </c>
      <c r="D23" s="487" t="str">
        <f>VLOOKUP(C23,'Sales Master'!B$3:D$537,2,)</f>
        <v>Black Glutinous Rice 黑糯米</v>
      </c>
      <c r="E23" s="487"/>
      <c r="F23" s="487"/>
      <c r="G23" s="76">
        <v>1</v>
      </c>
      <c r="H23" s="247" t="str">
        <f>VLOOKUP(C23,'Sales Master'!$B$3:$F$2420,5,0)</f>
        <v>5 KGS</v>
      </c>
      <c r="I23" s="513" t="str">
        <f>VLOOKUP(C23,'Sales Master'!$B$3:$E$2420,4,0)</f>
        <v>-</v>
      </c>
      <c r="J23" s="513"/>
      <c r="K23" s="83">
        <f>VLOOKUP(C23,'Sales Master'!B$3:I$537,8,0)</f>
        <v>18</v>
      </c>
      <c r="L23" s="84">
        <f>K23*G23</f>
        <v>18</v>
      </c>
      <c r="N23" s="145">
        <f>VLOOKUP(C23,'Sales Master'!$B$3:$DA$2279,104,0)</f>
        <v>12</v>
      </c>
      <c r="O23" s="145">
        <f>K23-N23</f>
        <v>6</v>
      </c>
      <c r="P23" s="145">
        <f>O23*G23</f>
        <v>6</v>
      </c>
      <c r="Q23" s="63"/>
      <c r="R23" s="63"/>
    </row>
    <row r="24" spans="1:18" ht="20.149999999999999" customHeight="1" x14ac:dyDescent="0.45">
      <c r="A24" s="65"/>
      <c r="B24" s="58">
        <v>520732</v>
      </c>
      <c r="C24" s="212" t="str">
        <f>VLOOKUP(B24,'Sales Master'!A$3:B$537,2,0)</f>
        <v>P3016A</v>
      </c>
      <c r="D24" s="487" t="str">
        <f>VLOOKUP(C24,'Sales Master'!B$3:D$537,2,)</f>
        <v>Pearl Barley 薏米</v>
      </c>
      <c r="E24" s="487"/>
      <c r="F24" s="487"/>
      <c r="G24" s="76">
        <v>2</v>
      </c>
      <c r="H24" s="247" t="str">
        <f>VLOOKUP(C24,'Sales Master'!$B$3:$F$2420,5,0)</f>
        <v>5 KG</v>
      </c>
      <c r="I24" s="513" t="str">
        <f>VLOOKUP(C24,'Sales Master'!$B$3:$E$2420,4,0)</f>
        <v>-</v>
      </c>
      <c r="J24" s="513"/>
      <c r="K24" s="83">
        <f>VLOOKUP(C24,'Sales Master'!B$3:I$537,8,0)</f>
        <v>10</v>
      </c>
      <c r="L24" s="84">
        <f t="shared" ref="L24" si="3">K24*G24</f>
        <v>20</v>
      </c>
      <c r="N24" s="145">
        <f>VLOOKUP(C24,'Sales Master'!$B$3:$DA$2279,104,0)</f>
        <v>7.6</v>
      </c>
      <c r="O24" s="145">
        <f t="shared" ref="O24" si="4">K24-N24</f>
        <v>2.4000000000000004</v>
      </c>
      <c r="P24" s="145">
        <f t="shared" ref="P24" si="5">O24*G24</f>
        <v>4.8000000000000007</v>
      </c>
      <c r="Q24" s="63"/>
      <c r="R24" s="63"/>
    </row>
    <row r="25" spans="1:18" ht="20.149999999999999" customHeight="1" x14ac:dyDescent="0.45">
      <c r="A25" s="65"/>
      <c r="B25" s="58">
        <v>520714</v>
      </c>
      <c r="C25" s="212" t="str">
        <f>VLOOKUP(B25,'Sales Master'!A$3:B$537,2,0)</f>
        <v>P3019A</v>
      </c>
      <c r="D25" s="487" t="str">
        <f>VLOOKUP(C25,'Sales Master'!B$3:D$537,2,)</f>
        <v>Dried Longan 龙眼干</v>
      </c>
      <c r="E25" s="487"/>
      <c r="F25" s="487"/>
      <c r="G25" s="76">
        <v>3</v>
      </c>
      <c r="H25" s="247" t="str">
        <f>VLOOKUP(C25,'Sales Master'!$B$3:$F$2420,5,0)</f>
        <v>1 kg/ Pkt包</v>
      </c>
      <c r="I25" s="513" t="str">
        <f>VLOOKUP(C25,'Sales Master'!$B$3:$E$2420,4,0)</f>
        <v>TL</v>
      </c>
      <c r="J25" s="513"/>
      <c r="K25" s="83">
        <f>VLOOKUP(C25,'Sales Master'!B$3:I$537,8,0)</f>
        <v>15</v>
      </c>
      <c r="L25" s="84">
        <f t="shared" ref="L25" si="6">K25*G25</f>
        <v>45</v>
      </c>
      <c r="N25" s="145">
        <f>VLOOKUP(C25,'Sales Master'!$B$3:$DA$2279,104,0)</f>
        <v>8.8000000000000007</v>
      </c>
      <c r="O25" s="145">
        <f t="shared" ref="O25" si="7">K25-N25</f>
        <v>6.1999999999999993</v>
      </c>
      <c r="P25" s="145">
        <f t="shared" ref="P25" si="8">O25*G25</f>
        <v>18.599999999999998</v>
      </c>
      <c r="Q25" s="63"/>
      <c r="R25" s="63"/>
    </row>
    <row r="26" spans="1:18" ht="20.149999999999999" customHeight="1" x14ac:dyDescent="0.45">
      <c r="A26" s="65"/>
      <c r="B26" s="58">
        <v>520728</v>
      </c>
      <c r="C26" s="212" t="str">
        <f>VLOOKUP(B26,'Sales Master'!A$3:B$537,2,0)</f>
        <v>P4010</v>
      </c>
      <c r="D26" s="487" t="str">
        <f>VLOOKUP(C26,'Sales Master'!B$3:D$537,2,)</f>
        <v>Lychee in Syrup 荔枝</v>
      </c>
      <c r="E26" s="487"/>
      <c r="F26" s="487"/>
      <c r="G26" s="76">
        <v>3</v>
      </c>
      <c r="H26" s="247" t="str">
        <f>VLOOKUP(C26,'Sales Master'!$B$3:$F$2420,5,0)</f>
        <v>12can/箱</v>
      </c>
      <c r="I26" s="513" t="str">
        <f>VLOOKUP(C26,'Sales Master'!$B$3:$E$2420,4,0)</f>
        <v>MiLi</v>
      </c>
      <c r="J26" s="513"/>
      <c r="K26" s="83">
        <f>VLOOKUP(C26,'Sales Master'!B$3:I$537,8,0)</f>
        <v>26.5</v>
      </c>
      <c r="L26" s="84">
        <f>K26*G26</f>
        <v>79.5</v>
      </c>
      <c r="N26" s="145">
        <f>VLOOKUP(C26,'Sales Master'!$B$3:$DA$2279,104,0)</f>
        <v>20</v>
      </c>
      <c r="O26" s="145">
        <f>K26-N26</f>
        <v>6.5</v>
      </c>
      <c r="P26" s="145">
        <f>O26*G26</f>
        <v>19.5</v>
      </c>
      <c r="Q26" s="63"/>
      <c r="R26" s="63"/>
    </row>
    <row r="27" spans="1:18" ht="20.149999999999999" customHeight="1" x14ac:dyDescent="0.45">
      <c r="A27" s="65"/>
      <c r="B27" s="58">
        <v>520700</v>
      </c>
      <c r="C27" s="212" t="str">
        <f>VLOOKUP(B27,'Sales Master'!A$3:B$537,2,0)</f>
        <v>P5002A</v>
      </c>
      <c r="D27" s="487" t="str">
        <f>VLOOKUP(C27,'Sales Master'!B$3:D$537,2,)</f>
        <v>Brown Sugar 黑糖</v>
      </c>
      <c r="E27" s="487"/>
      <c r="F27" s="487"/>
      <c r="G27" s="76">
        <v>2</v>
      </c>
      <c r="H27" s="247" t="str">
        <f>VLOOKUP(C27,'Sales Master'!$B$3:$F$2420,5,0)</f>
        <v>6 KG</v>
      </c>
      <c r="I27" s="513" t="str">
        <f>VLOOKUP(C27,'Sales Master'!$B$3:$E$2420,4,0)</f>
        <v>Star</v>
      </c>
      <c r="J27" s="513"/>
      <c r="K27" s="83">
        <f>VLOOKUP(C27,'Sales Master'!B$3:I$537,8,0)</f>
        <v>17</v>
      </c>
      <c r="L27" s="84">
        <f>K27*G27</f>
        <v>34</v>
      </c>
      <c r="N27" s="145">
        <f>VLOOKUP(C27,'Sales Master'!$B$3:$DA$2279,104,0)</f>
        <v>12.5</v>
      </c>
      <c r="O27" s="145">
        <f>K27-N27</f>
        <v>4.5</v>
      </c>
      <c r="P27" s="145">
        <f>O27*G27</f>
        <v>9</v>
      </c>
      <c r="Q27" s="63"/>
      <c r="R27" s="63"/>
    </row>
    <row r="28" spans="1:18" ht="20.149999999999999" customHeight="1" x14ac:dyDescent="0.45">
      <c r="A28" s="65"/>
      <c r="B28" s="58">
        <v>520733</v>
      </c>
      <c r="C28" s="212" t="str">
        <f>VLOOKUP(B28,'Sales Master'!A$3:B$537,2,0)</f>
        <v>P6002A</v>
      </c>
      <c r="D28" s="487" t="str">
        <f>VLOOKUP(C28,'Sales Master'!B$3:D$537,2,)</f>
        <v>Skinless Sweet Potato 去皮番薯</v>
      </c>
      <c r="E28" s="487"/>
      <c r="F28" s="487"/>
      <c r="G28" s="76">
        <v>1</v>
      </c>
      <c r="H28" s="247" t="str">
        <f>VLOOKUP(C28,'Sales Master'!$B$3:$F$2420,5,0)</f>
        <v>5 KG</v>
      </c>
      <c r="I28" s="513" t="str">
        <f>VLOOKUP(C28,'Sales Master'!$B$3:$E$2420,4,0)</f>
        <v>Malaysia</v>
      </c>
      <c r="J28" s="513"/>
      <c r="K28" s="83">
        <f>VLOOKUP(C28,'Sales Master'!B$3:I$537,8,0)</f>
        <v>18</v>
      </c>
      <c r="L28" s="84">
        <f t="shared" ref="L28:L31" si="9">K28*G28</f>
        <v>18</v>
      </c>
      <c r="N28" s="145">
        <f>VLOOKUP(C28,'Sales Master'!$B$3:$DA$2279,104,0)</f>
        <v>9</v>
      </c>
      <c r="O28" s="145">
        <f t="shared" ref="O28:O31" si="10">K28-N28</f>
        <v>9</v>
      </c>
      <c r="P28" s="145">
        <f t="shared" ref="P28:P31" si="11">O28*G28</f>
        <v>9</v>
      </c>
      <c r="Q28" s="63"/>
      <c r="R28" s="63"/>
    </row>
    <row r="29" spans="1:18" ht="20.149999999999999" customHeight="1" x14ac:dyDescent="0.45">
      <c r="A29" s="65"/>
      <c r="B29" s="58">
        <v>520731</v>
      </c>
      <c r="C29" s="212" t="str">
        <f>VLOOKUP(B29,'Sales Master'!A$3:B$537,2,0)</f>
        <v>P6007</v>
      </c>
      <c r="D29" s="487" t="str">
        <f>VLOOKUP(C29,'Sales Master'!B$3:D$537,2,)</f>
        <v>Pandan Leaf 班兰叶</v>
      </c>
      <c r="E29" s="487"/>
      <c r="F29" s="487"/>
      <c r="G29" s="76">
        <v>1</v>
      </c>
      <c r="H29" s="247" t="str">
        <f>VLOOKUP(C29,'Sales Master'!$B$3:$F$2420,5,0)</f>
        <v>1 KG</v>
      </c>
      <c r="I29" s="513" t="str">
        <f>VLOOKUP(C29,'Sales Master'!$B$3:$E$2420,4,0)</f>
        <v>-</v>
      </c>
      <c r="J29" s="513"/>
      <c r="K29" s="83">
        <f>VLOOKUP(C29,'Sales Master'!B$3:I$537,8,0)</f>
        <v>1.8</v>
      </c>
      <c r="L29" s="84">
        <f>K29*G29</f>
        <v>1.8</v>
      </c>
      <c r="N29" s="145">
        <f>VLOOKUP(C29,'Sales Master'!$B$3:$DA$2279,104,0)</f>
        <v>1.1000000000000001</v>
      </c>
      <c r="O29" s="145">
        <f>K29-N29</f>
        <v>0.7</v>
      </c>
      <c r="P29" s="145">
        <f>O29*G29</f>
        <v>0.7</v>
      </c>
      <c r="Q29" s="63"/>
      <c r="R29" s="63"/>
    </row>
    <row r="30" spans="1:18" ht="20.149999999999999" customHeight="1" x14ac:dyDescent="0.45">
      <c r="A30" s="65"/>
      <c r="B30" s="58">
        <v>520792</v>
      </c>
      <c r="C30" s="212" t="str">
        <f>VLOOKUP(B30,'Sales Master'!A$3:B$537,2,0)</f>
        <v>P6014</v>
      </c>
      <c r="D30" s="487" t="str">
        <f>VLOOKUP(C30,'Sales Master'!B$3:D$537,2,)</f>
        <v>Yu Tiao 油条</v>
      </c>
      <c r="E30" s="487"/>
      <c r="F30" s="487"/>
      <c r="G30" s="76">
        <v>1</v>
      </c>
      <c r="H30" s="247" t="str">
        <f>VLOOKUP(C30,'Sales Master'!$B$3:$F$2420,5,0)</f>
        <v>10 PCS/PKT</v>
      </c>
      <c r="I30" s="513" t="str">
        <f>VLOOKUP(C30,'Sales Master'!$B$3:$E$2420,4,0)</f>
        <v>-</v>
      </c>
      <c r="J30" s="513"/>
      <c r="K30" s="83">
        <f>VLOOKUP(C30,'Sales Master'!B$3:I$537,8,0)</f>
        <v>5.5</v>
      </c>
      <c r="L30" s="84">
        <f>K30*G30</f>
        <v>5.5</v>
      </c>
      <c r="N30" s="145">
        <f>VLOOKUP(C30,'Sales Master'!$B$3:$DA$2279,104,0)</f>
        <v>0.45</v>
      </c>
      <c r="O30" s="145">
        <f>K30-N30</f>
        <v>5.05</v>
      </c>
      <c r="P30" s="145">
        <f>O30*G30</f>
        <v>5.05</v>
      </c>
      <c r="Q30" s="63"/>
      <c r="R30" s="63"/>
    </row>
    <row r="31" spans="1:18" ht="20.149999999999999" customHeight="1" x14ac:dyDescent="0.45">
      <c r="A31" s="65"/>
      <c r="B31" s="58">
        <v>520740</v>
      </c>
      <c r="C31" s="212" t="str">
        <f>VLOOKUP(B31,'Sales Master'!A$3:B$537,2,0)</f>
        <v>M1037A</v>
      </c>
      <c r="D31" s="487" t="str">
        <f>VLOOKUP(C31,'Sales Master'!B$3:D$537,2,)</f>
        <v>Rock Sugar Syrup 冰糖浆</v>
      </c>
      <c r="E31" s="487"/>
      <c r="F31" s="487"/>
      <c r="G31" s="76">
        <v>4</v>
      </c>
      <c r="H31" s="247" t="str">
        <f>VLOOKUP(C31,'Sales Master'!$B$3:$F$2420,5,0)</f>
        <v>5 KG</v>
      </c>
      <c r="I31" s="513" t="str">
        <f>VLOOKUP(C31,'Sales Master'!$B$3:$E$2420,4,0)</f>
        <v>DO!</v>
      </c>
      <c r="J31" s="513"/>
      <c r="K31" s="83">
        <f>VLOOKUP(C31,'Sales Master'!B$3:I$537,8,0)</f>
        <v>11</v>
      </c>
      <c r="L31" s="84">
        <f t="shared" si="9"/>
        <v>44</v>
      </c>
      <c r="N31" s="145">
        <f>VLOOKUP(C31,'Sales Master'!$B$3:$DA$2279,104,0)</f>
        <v>5.86</v>
      </c>
      <c r="O31" s="145">
        <f t="shared" si="10"/>
        <v>5.14</v>
      </c>
      <c r="P31" s="145">
        <f t="shared" si="11"/>
        <v>20.56</v>
      </c>
      <c r="Q31" s="63"/>
      <c r="R31" s="63"/>
    </row>
    <row r="32" spans="1:18" ht="20.149999999999999" customHeight="1" x14ac:dyDescent="0.45">
      <c r="A32" s="65"/>
      <c r="B32" s="242"/>
      <c r="C32" s="212"/>
      <c r="D32" s="487"/>
      <c r="E32" s="487"/>
      <c r="F32" s="487"/>
      <c r="G32" s="76"/>
      <c r="H32" s="247"/>
      <c r="I32" s="513"/>
      <c r="J32" s="513"/>
      <c r="K32" s="83"/>
      <c r="L32" s="84"/>
      <c r="N32" s="145"/>
      <c r="O32" s="145"/>
      <c r="P32" s="145"/>
      <c r="Q32" s="63"/>
      <c r="R32" s="63"/>
    </row>
    <row r="33" spans="1:18" ht="20.149999999999999" customHeight="1" x14ac:dyDescent="0.45">
      <c r="A33" s="65"/>
      <c r="B33" s="242"/>
      <c r="C33" s="212"/>
      <c r="D33" s="487"/>
      <c r="E33" s="487"/>
      <c r="F33" s="487"/>
      <c r="G33" s="76"/>
      <c r="H33" s="247"/>
      <c r="I33" s="513"/>
      <c r="J33" s="513"/>
      <c r="K33" s="83"/>
      <c r="L33" s="84"/>
      <c r="N33" s="145"/>
      <c r="O33" s="145"/>
      <c r="P33" s="145"/>
      <c r="Q33" s="63"/>
      <c r="R33" s="63"/>
    </row>
    <row r="34" spans="1:18" ht="20.149999999999999" customHeight="1" x14ac:dyDescent="0.45">
      <c r="A34" s="65"/>
      <c r="B34" s="242"/>
      <c r="C34" s="212"/>
      <c r="G34" s="76"/>
      <c r="H34" s="247"/>
      <c r="I34" s="209"/>
      <c r="J34" s="209"/>
      <c r="K34" s="83"/>
      <c r="L34" s="84"/>
      <c r="N34" s="145"/>
      <c r="O34" s="145"/>
      <c r="P34" s="145"/>
      <c r="Q34" s="63"/>
      <c r="R34" s="63"/>
    </row>
    <row r="35" spans="1:18" ht="20.149999999999999" customHeight="1" x14ac:dyDescent="0.45">
      <c r="A35" s="65"/>
      <c r="B35" s="139"/>
      <c r="C35" s="129"/>
      <c r="D35" s="140"/>
      <c r="E35" s="140"/>
      <c r="F35" s="140"/>
      <c r="G35" s="129"/>
      <c r="H35" s="138"/>
      <c r="I35" s="517"/>
      <c r="J35" s="517"/>
      <c r="K35" s="95"/>
      <c r="L35" s="98"/>
      <c r="M35" s="63"/>
      <c r="N35" s="63"/>
      <c r="Q35" s="63"/>
    </row>
    <row r="36" spans="1:18" ht="20.149999999999999" customHeight="1" thickBot="1" x14ac:dyDescent="0.5">
      <c r="A36" s="65"/>
      <c r="B36" s="141"/>
      <c r="C36" s="76"/>
      <c r="D36" s="65"/>
      <c r="E36" s="65"/>
      <c r="F36" s="65"/>
      <c r="G36" s="76"/>
      <c r="H36" s="82"/>
      <c r="I36" s="76"/>
      <c r="J36" s="76"/>
      <c r="K36" s="83"/>
      <c r="L36" s="84"/>
    </row>
    <row r="37" spans="1:18" ht="20.149999999999999" customHeight="1" x14ac:dyDescent="0.45">
      <c r="A37" s="65"/>
      <c r="B37" s="142" t="s">
        <v>16</v>
      </c>
      <c r="C37" s="135"/>
      <c r="D37" s="135"/>
      <c r="E37" s="135"/>
      <c r="F37" s="135"/>
      <c r="G37" s="135"/>
      <c r="H37" s="135"/>
      <c r="I37" s="135"/>
      <c r="J37" s="515" t="s">
        <v>13</v>
      </c>
      <c r="K37" s="516"/>
      <c r="L37" s="143">
        <f>SUM(L18:L36)</f>
        <v>340.3</v>
      </c>
      <c r="M37" s="63">
        <f>SUM(P18:P36)</f>
        <v>120.98</v>
      </c>
      <c r="N37" s="133">
        <f>M37/L37</f>
        <v>0.35550984425506904</v>
      </c>
      <c r="Q37" s="133"/>
    </row>
    <row r="38" spans="1:18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v>0</v>
      </c>
      <c r="M38" s="63"/>
    </row>
    <row r="39" spans="1:18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91" t="s">
        <v>19</v>
      </c>
      <c r="K39" s="492"/>
      <c r="L39" s="41">
        <f>L37-L38</f>
        <v>340.3</v>
      </c>
    </row>
    <row r="40" spans="1:18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30.626999999999999</v>
      </c>
    </row>
    <row r="41" spans="1:18" ht="20.149999999999999" customHeight="1" thickBot="1" x14ac:dyDescent="0.5">
      <c r="B41" s="10" t="s">
        <v>676</v>
      </c>
      <c r="C41" s="6"/>
      <c r="D41" s="6"/>
      <c r="E41" s="6"/>
      <c r="F41" s="6"/>
      <c r="G41" s="6"/>
      <c r="H41" s="6"/>
      <c r="I41" s="6"/>
      <c r="J41" s="485" t="s">
        <v>21</v>
      </c>
      <c r="K41" s="486"/>
      <c r="L41" s="43">
        <f>L39+L40</f>
        <v>370.92700000000002</v>
      </c>
    </row>
    <row r="42" spans="1:18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1:18" ht="18" customHeight="1" x14ac:dyDescent="0.45">
      <c r="B43" s="144" t="s">
        <v>666</v>
      </c>
      <c r="L43" s="37"/>
    </row>
    <row r="44" spans="1:18" ht="18" customHeight="1" x14ac:dyDescent="0.45">
      <c r="B44" s="36"/>
      <c r="L44" s="37"/>
      <c r="N44" s="176">
        <v>44641</v>
      </c>
      <c r="O44" s="19">
        <v>287.5</v>
      </c>
      <c r="P44" s="19">
        <v>54.36</v>
      </c>
      <c r="Q44" s="133">
        <f>P44/O44</f>
        <v>0.18907826086956522</v>
      </c>
    </row>
    <row r="45" spans="1:18" ht="18" customHeight="1" x14ac:dyDescent="0.45">
      <c r="B45" s="36"/>
      <c r="L45" s="37"/>
      <c r="N45" s="176"/>
      <c r="Q45" s="133"/>
    </row>
    <row r="46" spans="1:18" ht="18" customHeight="1" x14ac:dyDescent="0.45">
      <c r="B46" s="36"/>
      <c r="L46" s="37"/>
      <c r="N46" s="176"/>
      <c r="Q46" s="133"/>
    </row>
    <row r="47" spans="1:18" ht="18" customHeight="1" x14ac:dyDescent="0.45">
      <c r="B47" s="36"/>
      <c r="L47" s="37"/>
      <c r="N47" s="176"/>
      <c r="Q47" s="133"/>
    </row>
    <row r="48" spans="1:18" ht="18" customHeight="1" x14ac:dyDescent="0.45">
      <c r="B48" s="44"/>
      <c r="C48" s="45"/>
      <c r="D48" s="45"/>
      <c r="J48" s="45"/>
      <c r="K48" s="45"/>
      <c r="L48" s="46"/>
    </row>
    <row r="49" spans="2:12" ht="20.149999999999999" customHeight="1" x14ac:dyDescent="0.45">
      <c r="B49" s="36" t="s">
        <v>25</v>
      </c>
      <c r="J49" s="19" t="s">
        <v>26</v>
      </c>
      <c r="L49" s="37"/>
    </row>
    <row r="50" spans="2:12" ht="19" thickBot="1" x14ac:dyDescent="0.5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9"/>
    </row>
    <row r="51" spans="2:12" ht="20.5" x14ac:dyDescent="0.45">
      <c r="F51" s="201"/>
    </row>
  </sheetData>
  <mergeCells count="51">
    <mergeCell ref="D28:F28"/>
    <mergeCell ref="I28:J2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7:F27"/>
    <mergeCell ref="I27:J27"/>
    <mergeCell ref="D18:F18"/>
    <mergeCell ref="I18:J18"/>
    <mergeCell ref="D17:F17"/>
    <mergeCell ref="D23:F23"/>
    <mergeCell ref="I23:J23"/>
    <mergeCell ref="I19:J19"/>
    <mergeCell ref="D19:F19"/>
    <mergeCell ref="D25:F25"/>
    <mergeCell ref="I25:J25"/>
    <mergeCell ref="D26:F26"/>
    <mergeCell ref="I26:J26"/>
    <mergeCell ref="J37:K37"/>
    <mergeCell ref="J39:K39"/>
    <mergeCell ref="J41:K41"/>
    <mergeCell ref="I35:J35"/>
    <mergeCell ref="D33:F33"/>
    <mergeCell ref="I33:J33"/>
    <mergeCell ref="D32:F32"/>
    <mergeCell ref="I32:J32"/>
    <mergeCell ref="I20:J20"/>
    <mergeCell ref="I29:J29"/>
    <mergeCell ref="D24:F24"/>
    <mergeCell ref="D22:F22"/>
    <mergeCell ref="D20:F20"/>
    <mergeCell ref="D29:F29"/>
    <mergeCell ref="I24:J24"/>
    <mergeCell ref="I22:J22"/>
    <mergeCell ref="D31:F31"/>
    <mergeCell ref="I31:J31"/>
    <mergeCell ref="D30:F30"/>
    <mergeCell ref="I30:J30"/>
    <mergeCell ref="D21:F21"/>
    <mergeCell ref="I21:J21"/>
  </mergeCells>
  <hyperlinks>
    <hyperlink ref="B15" r:id="rId1" xr:uid="{9505B723-BB31-4FE3-846C-0E2BA54E91B8}"/>
  </hyperlinks>
  <pageMargins left="0.74803149606299213" right="0" top="0" bottom="0" header="0" footer="0"/>
  <pageSetup paperSize="9" scale="71" orientation="portrait" r:id="rId2"/>
  <drawing r:id="rId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E2A76-D18A-43D2-B5A3-B2E21F05CD35}">
  <sheetPr codeName="Sheet131">
    <tabColor rgb="FF7030A0"/>
    <pageSetUpPr fitToPage="1"/>
  </sheetPr>
  <dimension ref="B1:P45"/>
  <sheetViews>
    <sheetView topLeftCell="A29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580</v>
      </c>
      <c r="J10" s="24" t="s">
        <v>27</v>
      </c>
      <c r="K10" s="464">
        <v>202504240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Happy Hawkers Kopitiam                    622D Punggol Central,                      Singapore 824622.                                   Tim Sum Counter</v>
      </c>
      <c r="G11" s="470"/>
      <c r="H11" s="471"/>
      <c r="J11" s="26" t="s">
        <v>9</v>
      </c>
      <c r="K11" s="478">
        <v>45756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548" t="s">
        <v>2297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777</v>
      </c>
      <c r="D18" s="556" t="str">
        <f>VLOOKUP(C18,'Sales Master'!B$3:D$537,2,)</f>
        <v>Sweet Potato Powder 番薯粉</v>
      </c>
      <c r="E18" s="556"/>
      <c r="F18" s="556"/>
      <c r="G18" s="17">
        <v>2</v>
      </c>
      <c r="H18" s="186" t="str">
        <f>VLOOKUP(C18,'Sales Master'!$B$3:$F$2488,5,0)</f>
        <v>(500gm x 20Pkt)包</v>
      </c>
      <c r="I18" s="484" t="str">
        <f>VLOOKUP(C18,'Sales Master'!$B$3:$E$2488,4,0)</f>
        <v>RE-PACK</v>
      </c>
      <c r="J18" s="484"/>
      <c r="K18" s="30">
        <f>VLOOKUP(C18,'Sales Master'!$B$3:$J$537,9,0)</f>
        <v>32</v>
      </c>
      <c r="L18" s="31">
        <f>K18*G18</f>
        <v>64</v>
      </c>
      <c r="N18" s="145">
        <f>VLOOKUP(C18,'Sales Master'!$B$3:$DA$2279,104,0)</f>
        <v>24.8</v>
      </c>
      <c r="O18" s="145">
        <f>K18-N18</f>
        <v>7.1999999999999993</v>
      </c>
      <c r="P18" s="145">
        <f>O18*G18</f>
        <v>14.399999999999999</v>
      </c>
    </row>
    <row r="19" spans="2:16" ht="20.149999999999999" customHeight="1" x14ac:dyDescent="0.45">
      <c r="B19" s="29"/>
      <c r="C19" s="212" t="s">
        <v>807</v>
      </c>
      <c r="D19" s="487" t="str">
        <f>VLOOKUP(C19,'Sales Master'!B$3:D$537,2,)</f>
        <v>Chin Chow  仙草</v>
      </c>
      <c r="E19" s="487"/>
      <c r="F19" s="487"/>
      <c r="G19" s="17">
        <v>4</v>
      </c>
      <c r="H19" s="186" t="str">
        <f>VLOOKUP(C19,'Sales Master'!$B$3:$F$2488,5,0)</f>
        <v>4 KG/ Pkt包</v>
      </c>
      <c r="I19" s="484" t="str">
        <f>VLOOKUP(C19,'Sales Master'!$B$3:$E$2488,4,0)</f>
        <v>TSM</v>
      </c>
      <c r="J19" s="484"/>
      <c r="K19" s="30">
        <f>VLOOKUP(C19,'Sales Master'!$B$3:$J$537,9,0)</f>
        <v>6</v>
      </c>
      <c r="L19" s="31">
        <f>K19*G19</f>
        <v>24</v>
      </c>
      <c r="N19" s="145">
        <f>VLOOKUP(C19,'Sales Master'!$B$3:$DA$2279,104,0)</f>
        <v>4</v>
      </c>
      <c r="O19" s="145">
        <f>K19-N19</f>
        <v>2</v>
      </c>
      <c r="P19" s="145">
        <f>O19*G19</f>
        <v>8</v>
      </c>
    </row>
    <row r="20" spans="2:16" ht="20.149999999999999" customHeight="1" x14ac:dyDescent="0.45">
      <c r="B20" s="29"/>
      <c r="C20" s="212" t="s">
        <v>825</v>
      </c>
      <c r="D20" s="487" t="str">
        <f>VLOOKUP(C20,'Sales Master'!B$3:D$537,2,)</f>
        <v>Green Bean 绿豆</v>
      </c>
      <c r="E20" s="487"/>
      <c r="F20" s="487"/>
      <c r="G20" s="17">
        <v>3</v>
      </c>
      <c r="H20" s="186" t="str">
        <f>VLOOKUP(C20,'Sales Master'!$B$3:$F$2488,5,0)</f>
        <v>5 KG</v>
      </c>
      <c r="I20" s="484" t="str">
        <f>VLOOKUP(C20,'Sales Master'!$B$3:$E$2488,4,0)</f>
        <v>-</v>
      </c>
      <c r="J20" s="484"/>
      <c r="K20" s="30">
        <f>VLOOKUP(C20,'Sales Master'!$B$3:$J$537,9,0)</f>
        <v>13</v>
      </c>
      <c r="L20" s="31">
        <f>K20*G20</f>
        <v>39</v>
      </c>
      <c r="N20" s="145">
        <f>VLOOKUP(C20,'Sales Master'!$B$3:$DA$2279,104,0)</f>
        <v>8.75</v>
      </c>
      <c r="O20" s="145">
        <f>K20-N20</f>
        <v>4.25</v>
      </c>
      <c r="P20" s="145">
        <f>O20*G20</f>
        <v>12.75</v>
      </c>
    </row>
    <row r="21" spans="2:16" ht="20.149999999999999" customHeight="1" x14ac:dyDescent="0.45">
      <c r="B21" s="29"/>
      <c r="C21" s="212"/>
      <c r="D21" s="487"/>
      <c r="E21" s="487"/>
      <c r="F21" s="487"/>
      <c r="G21" s="17"/>
      <c r="H21" s="186"/>
      <c r="I21" s="484"/>
      <c r="J21" s="484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2"/>
      <c r="D22" s="487"/>
      <c r="E22" s="487"/>
      <c r="F22" s="487"/>
      <c r="G22" s="17"/>
      <c r="H22" s="186"/>
      <c r="I22" s="484"/>
      <c r="J22" s="484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17"/>
      <c r="D23" s="487"/>
      <c r="E23" s="487"/>
      <c r="F23" s="487"/>
      <c r="G23" s="17"/>
      <c r="H23" s="56"/>
      <c r="I23" s="458"/>
      <c r="J23" s="458"/>
      <c r="K23" s="30"/>
      <c r="L23" s="31"/>
    </row>
    <row r="24" spans="2:16" ht="20.149999999999999" customHeight="1" x14ac:dyDescent="0.45">
      <c r="B24" s="29"/>
      <c r="C24" s="17"/>
      <c r="G24" s="17"/>
      <c r="H24" s="56"/>
      <c r="I24" s="458"/>
      <c r="J24" s="458"/>
      <c r="K24" s="30"/>
      <c r="L24" s="31"/>
    </row>
    <row r="25" spans="2:16" ht="20.149999999999999" customHeight="1" x14ac:dyDescent="0.45">
      <c r="B25" s="29"/>
      <c r="C25" s="17"/>
      <c r="G25" s="17"/>
      <c r="H25" s="56"/>
      <c r="I25" s="458"/>
      <c r="J25" s="458"/>
      <c r="K25" s="30"/>
      <c r="L25" s="31"/>
    </row>
    <row r="26" spans="2:16" ht="20.149999999999999" customHeight="1" x14ac:dyDescent="0.45">
      <c r="B26" s="29"/>
      <c r="C26" s="17"/>
      <c r="G26" s="17"/>
      <c r="H26" s="56"/>
      <c r="I26" s="458"/>
      <c r="J26" s="458"/>
      <c r="K26" s="30"/>
      <c r="L26" s="31"/>
    </row>
    <row r="27" spans="2:16" ht="20.149999999999999" customHeight="1" x14ac:dyDescent="0.45">
      <c r="B27" s="29"/>
      <c r="C27" s="17"/>
      <c r="G27" s="17"/>
      <c r="H27" s="56"/>
      <c r="I27" s="458"/>
      <c r="J27" s="458"/>
      <c r="K27" s="30"/>
      <c r="L27" s="31"/>
    </row>
    <row r="28" spans="2:16" ht="20.149999999999999" customHeight="1" x14ac:dyDescent="0.45">
      <c r="B28" s="29"/>
      <c r="C28" s="17"/>
      <c r="G28" s="17"/>
      <c r="H28" s="56"/>
      <c r="I28" s="458"/>
      <c r="J28" s="458"/>
      <c r="K28" s="30"/>
      <c r="L28" s="31"/>
    </row>
    <row r="29" spans="2:16" ht="20.149999999999999" customHeight="1" x14ac:dyDescent="0.45">
      <c r="B29" s="29"/>
      <c r="C29" s="17"/>
      <c r="D29" s="487"/>
      <c r="E29" s="487"/>
      <c r="F29" s="487"/>
      <c r="G29" s="17"/>
      <c r="H29" s="17"/>
      <c r="I29" s="17"/>
      <c r="J29" s="17"/>
      <c r="K29" s="30"/>
      <c r="L29" s="31"/>
    </row>
    <row r="30" spans="2:16" ht="20.149999999999999" customHeight="1" thickBot="1" x14ac:dyDescent="0.5">
      <c r="B30" s="32"/>
      <c r="C30" s="33"/>
      <c r="D30" s="488"/>
      <c r="E30" s="488"/>
      <c r="F30" s="488"/>
      <c r="G30" s="33"/>
      <c r="H30" s="33"/>
      <c r="I30" s="33"/>
      <c r="J30" s="33"/>
      <c r="K30" s="34"/>
      <c r="L30" s="35"/>
    </row>
    <row r="31" spans="2:16" ht="20.149999999999999" customHeight="1" thickBot="1" x14ac:dyDescent="0.5">
      <c r="B31" s="36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89" t="s">
        <v>13</v>
      </c>
      <c r="K32" s="490"/>
      <c r="L32" s="38">
        <f>SUM(L18:L30)</f>
        <v>127</v>
      </c>
      <c r="M32" s="63">
        <f>SUM(P18:P30)-L32*0.02</f>
        <v>32.61</v>
      </c>
      <c r="N32" s="133">
        <f>M32/L32</f>
        <v>0.25677165354330705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91" t="s">
        <v>19</v>
      </c>
      <c r="K34" s="492"/>
      <c r="L34" s="41">
        <f>L32-L33</f>
        <v>127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11.43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85" t="s">
        <v>21</v>
      </c>
      <c r="K36" s="486"/>
      <c r="L36" s="43">
        <f>L34+L35</f>
        <v>138.43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  <row r="45" spans="2:12" ht="20.5" x14ac:dyDescent="0.45">
      <c r="F45" s="202"/>
    </row>
  </sheetData>
  <mergeCells count="37"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J34:K34"/>
    <mergeCell ref="J36:K36"/>
    <mergeCell ref="I24:J24"/>
    <mergeCell ref="I25:J25"/>
    <mergeCell ref="I26:J26"/>
    <mergeCell ref="I27:J27"/>
    <mergeCell ref="I28:J28"/>
    <mergeCell ref="B1:L8"/>
    <mergeCell ref="D29:F29"/>
    <mergeCell ref="D30:F30"/>
    <mergeCell ref="J32:K32"/>
    <mergeCell ref="D20:F20"/>
    <mergeCell ref="I20:J20"/>
    <mergeCell ref="D21:F21"/>
    <mergeCell ref="I21:J21"/>
    <mergeCell ref="D22:F22"/>
    <mergeCell ref="I22:J22"/>
    <mergeCell ref="D23:F23"/>
    <mergeCell ref="I23:J23"/>
    <mergeCell ref="D19:F19"/>
    <mergeCell ref="I19:J19"/>
    <mergeCell ref="D18:F18"/>
    <mergeCell ref="I18:J18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8293A-9525-415D-A3B9-935637B9C073}">
  <sheetPr codeName="Sheet132">
    <tabColor rgb="FF7030A0"/>
    <pageSetUpPr fitToPage="1"/>
  </sheetPr>
  <dimension ref="B1:P51"/>
  <sheetViews>
    <sheetView workbookViewId="0">
      <selection activeCell="A9" sqref="A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581</v>
      </c>
      <c r="J10" s="24" t="s">
        <v>27</v>
      </c>
      <c r="K10" s="464">
        <v>202208007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Happy Hawkers Kopitiam                   622D Punggol Central,                       Singapore 824622.                                  Drink Counter</v>
      </c>
      <c r="G11" s="470"/>
      <c r="H11" s="471"/>
      <c r="J11" s="26" t="s">
        <v>9</v>
      </c>
      <c r="K11" s="478">
        <v>44774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 t="s">
        <v>777</v>
      </c>
      <c r="D18" s="487" t="str">
        <f>VLOOKUP(C18,'Sales Master'!B$3:D$537,2,)</f>
        <v>Sweet Potato Powder 番薯粉</v>
      </c>
      <c r="E18" s="487"/>
      <c r="F18" s="487"/>
      <c r="G18" s="17">
        <v>1</v>
      </c>
      <c r="H18" s="56" t="str">
        <f>VLOOKUP(C18,'Sales Master'!$B$3:$F$2488,5,0)</f>
        <v>(500gm x 20Pkt)包</v>
      </c>
      <c r="I18" s="494" t="str">
        <f>VLOOKUP(C18,'Sales Master'!$B$3:$E$2488,4,0)</f>
        <v>RE-PACK</v>
      </c>
      <c r="J18" s="494"/>
      <c r="K18" s="30">
        <f>VLOOKUP(C18,'Sales Master'!$B$3:$J$537,9,0)</f>
        <v>32</v>
      </c>
      <c r="L18" s="31">
        <f>K18*G18</f>
        <v>32</v>
      </c>
      <c r="N18" s="145">
        <f>VLOOKUP(C18,'Sales Master'!$B$3:$DA$2279,104,0)</f>
        <v>24.8</v>
      </c>
      <c r="O18" s="145">
        <f>K18-N18</f>
        <v>7.1999999999999993</v>
      </c>
      <c r="P18" s="145">
        <f>O18*G18</f>
        <v>7.1999999999999993</v>
      </c>
    </row>
    <row r="19" spans="2:16" ht="20.149999999999999" customHeight="1" x14ac:dyDescent="0.45">
      <c r="B19" s="29"/>
      <c r="C19" s="17" t="s">
        <v>807</v>
      </c>
      <c r="D19" s="487" t="str">
        <f>VLOOKUP(C19,'Sales Master'!B$3:D$537,2,)</f>
        <v>Chin Chow  仙草</v>
      </c>
      <c r="E19" s="487"/>
      <c r="F19" s="487"/>
      <c r="G19" s="17">
        <v>2</v>
      </c>
      <c r="H19" s="56" t="str">
        <f>VLOOKUP(C19,'Sales Master'!$B$3:$F$2488,5,0)</f>
        <v>4 KG/ Pkt包</v>
      </c>
      <c r="I19" s="494" t="str">
        <f>VLOOKUP(C19,'Sales Master'!$B$3:$E$2488,4,0)</f>
        <v>TSM</v>
      </c>
      <c r="J19" s="494"/>
      <c r="K19" s="30">
        <f>VLOOKUP(C19,'Sales Master'!$B$3:$J$537,9,0)</f>
        <v>6</v>
      </c>
      <c r="L19" s="31">
        <f>K19*G19</f>
        <v>12</v>
      </c>
      <c r="N19" s="145">
        <f>VLOOKUP(C19,'Sales Master'!$B$3:$DA$2279,104,0)</f>
        <v>4</v>
      </c>
      <c r="O19" s="145">
        <f>K19-N19</f>
        <v>2</v>
      </c>
      <c r="P19" s="145">
        <f>O19*G19</f>
        <v>4</v>
      </c>
    </row>
    <row r="20" spans="2:16" ht="20.149999999999999" customHeight="1" x14ac:dyDescent="0.45">
      <c r="B20" s="29"/>
      <c r="C20" s="17" t="s">
        <v>825</v>
      </c>
      <c r="D20" s="487" t="str">
        <f>VLOOKUP(C20,'Sales Master'!B$3:D$537,2,)</f>
        <v>Green Bean 绿豆</v>
      </c>
      <c r="E20" s="487"/>
      <c r="F20" s="487"/>
      <c r="G20" s="17">
        <v>2</v>
      </c>
      <c r="H20" s="56" t="str">
        <f>VLOOKUP(C20,'Sales Master'!$B$3:$F$2488,5,0)</f>
        <v>5 KG</v>
      </c>
      <c r="I20" s="494" t="str">
        <f>VLOOKUP(C20,'Sales Master'!$B$3:$E$2488,4,0)</f>
        <v>-</v>
      </c>
      <c r="J20" s="494"/>
      <c r="K20" s="30">
        <f>VLOOKUP(C20,'Sales Master'!$B$3:$J$537,9,0)</f>
        <v>13</v>
      </c>
      <c r="L20" s="31">
        <f>K20*G20</f>
        <v>26</v>
      </c>
      <c r="N20" s="145">
        <f>VLOOKUP(C20,'Sales Master'!$B$3:$DA$2279,104,0)</f>
        <v>8.75</v>
      </c>
      <c r="O20" s="145">
        <f>K20-N20</f>
        <v>4.25</v>
      </c>
      <c r="P20" s="145">
        <f>O20*G20</f>
        <v>8.5</v>
      </c>
    </row>
    <row r="21" spans="2:16" ht="20.149999999999999" customHeight="1" x14ac:dyDescent="0.45">
      <c r="B21" s="29"/>
      <c r="C21" s="17"/>
      <c r="D21" s="487"/>
      <c r="E21" s="487"/>
      <c r="F21" s="487"/>
      <c r="G21" s="17"/>
      <c r="H21" s="56"/>
      <c r="I21" s="494"/>
      <c r="J21" s="494"/>
      <c r="K21" s="30"/>
      <c r="L21" s="31"/>
    </row>
    <row r="22" spans="2:16" ht="20.149999999999999" customHeight="1" x14ac:dyDescent="0.45">
      <c r="B22" s="29"/>
      <c r="C22" s="17"/>
      <c r="D22" s="487"/>
      <c r="E22" s="487"/>
      <c r="F22" s="487"/>
      <c r="G22" s="17"/>
      <c r="H22" s="56"/>
      <c r="I22" s="458"/>
      <c r="J22" s="458"/>
      <c r="K22" s="30"/>
      <c r="L22" s="31"/>
    </row>
    <row r="23" spans="2:16" ht="20.149999999999999" customHeight="1" x14ac:dyDescent="0.45">
      <c r="B23" s="29"/>
      <c r="C23" s="17"/>
      <c r="D23" s="487"/>
      <c r="E23" s="487"/>
      <c r="F23" s="487"/>
      <c r="G23" s="17"/>
      <c r="H23" s="56"/>
      <c r="I23" s="458"/>
      <c r="J23" s="458"/>
      <c r="K23" s="30"/>
      <c r="L23" s="31"/>
    </row>
    <row r="24" spans="2:16" ht="20.149999999999999" customHeight="1" x14ac:dyDescent="0.45">
      <c r="B24" s="29"/>
      <c r="C24" s="17"/>
      <c r="D24" s="487"/>
      <c r="E24" s="487"/>
      <c r="F24" s="487"/>
      <c r="G24" s="17"/>
      <c r="H24" s="56"/>
      <c r="I24" s="458"/>
      <c r="J24" s="458"/>
      <c r="K24" s="30"/>
      <c r="L24" s="31"/>
    </row>
    <row r="25" spans="2:16" ht="20.149999999999999" customHeight="1" x14ac:dyDescent="0.45">
      <c r="B25" s="29"/>
      <c r="C25" s="17"/>
      <c r="D25" s="487"/>
      <c r="E25" s="487"/>
      <c r="F25" s="487"/>
      <c r="G25" s="17"/>
      <c r="H25" s="56"/>
      <c r="I25" s="458"/>
      <c r="J25" s="458"/>
      <c r="K25" s="30"/>
      <c r="L25" s="31"/>
    </row>
    <row r="26" spans="2:16" ht="20.149999999999999" customHeight="1" x14ac:dyDescent="0.45">
      <c r="B26" s="29"/>
      <c r="C26" s="17"/>
      <c r="G26" s="17"/>
      <c r="H26" s="56"/>
      <c r="I26" s="458"/>
      <c r="J26" s="458"/>
      <c r="K26" s="30"/>
      <c r="L26" s="31"/>
    </row>
    <row r="27" spans="2:16" ht="20.149999999999999" customHeight="1" x14ac:dyDescent="0.45">
      <c r="B27" s="29"/>
      <c r="C27" s="17"/>
      <c r="G27" s="17"/>
      <c r="H27" s="56"/>
      <c r="I27" s="458"/>
      <c r="J27" s="458"/>
      <c r="K27" s="30"/>
      <c r="L27" s="31"/>
    </row>
    <row r="28" spans="2:16" ht="20.149999999999999" customHeight="1" x14ac:dyDescent="0.45">
      <c r="B28" s="29"/>
      <c r="C28" s="17"/>
      <c r="G28" s="17"/>
      <c r="H28" s="56"/>
      <c r="I28" s="458"/>
      <c r="J28" s="458"/>
      <c r="K28" s="30"/>
      <c r="L28" s="31"/>
    </row>
    <row r="29" spans="2:16" ht="20.149999999999999" customHeight="1" x14ac:dyDescent="0.45">
      <c r="B29" s="29"/>
      <c r="C29" s="17"/>
      <c r="G29" s="17"/>
      <c r="H29" s="56"/>
      <c r="I29" s="458"/>
      <c r="J29" s="458"/>
      <c r="K29" s="30"/>
      <c r="L29" s="31"/>
    </row>
    <row r="30" spans="2:16" ht="20.149999999999999" customHeight="1" x14ac:dyDescent="0.45">
      <c r="B30" s="29"/>
      <c r="C30" s="17"/>
      <c r="G30" s="17"/>
      <c r="H30" s="56"/>
      <c r="I30" s="458"/>
      <c r="J30" s="458"/>
      <c r="K30" s="30"/>
      <c r="L30" s="31"/>
    </row>
    <row r="31" spans="2:16" ht="20.149999999999999" customHeight="1" x14ac:dyDescent="0.45">
      <c r="B31" s="29"/>
      <c r="C31" s="17"/>
      <c r="G31" s="17"/>
      <c r="H31" s="56"/>
      <c r="I31" s="17"/>
      <c r="J31" s="17"/>
      <c r="K31" s="30"/>
      <c r="L31" s="31"/>
    </row>
    <row r="32" spans="2:16" ht="20.149999999999999" customHeight="1" x14ac:dyDescent="0.45">
      <c r="B32" s="29"/>
      <c r="C32" s="17"/>
      <c r="G32" s="17"/>
      <c r="H32" s="56"/>
      <c r="I32" s="17"/>
      <c r="J32" s="17"/>
      <c r="K32" s="30"/>
      <c r="L32" s="31"/>
    </row>
    <row r="33" spans="2:13" ht="20.149999999999999" customHeight="1" x14ac:dyDescent="0.45">
      <c r="B33" s="29"/>
      <c r="C33" s="17"/>
      <c r="G33" s="17"/>
      <c r="H33" s="56"/>
      <c r="I33" s="17"/>
      <c r="J33" s="17"/>
      <c r="K33" s="30"/>
      <c r="L33" s="31"/>
    </row>
    <row r="34" spans="2:13" ht="20.149999999999999" customHeight="1" x14ac:dyDescent="0.45">
      <c r="B34" s="29"/>
      <c r="C34" s="17"/>
      <c r="D34" s="487"/>
      <c r="E34" s="487"/>
      <c r="F34" s="487"/>
      <c r="G34" s="17"/>
      <c r="H34" s="56"/>
      <c r="I34" s="56"/>
      <c r="J34" s="17"/>
      <c r="K34" s="30"/>
      <c r="L34" s="31"/>
    </row>
    <row r="35" spans="2:13" ht="20.149999999999999" customHeight="1" x14ac:dyDescent="0.45">
      <c r="B35" s="29"/>
      <c r="C35" s="17"/>
      <c r="D35" s="487"/>
      <c r="E35" s="487"/>
      <c r="F35" s="487"/>
      <c r="G35" s="17"/>
      <c r="H35" s="56"/>
      <c r="I35" s="56"/>
      <c r="J35" s="17"/>
      <c r="K35" s="30"/>
      <c r="L35" s="31"/>
    </row>
    <row r="36" spans="2:13" ht="20.149999999999999" customHeight="1" x14ac:dyDescent="0.45">
      <c r="B36" s="29"/>
      <c r="C36" s="17"/>
      <c r="D36" s="487"/>
      <c r="E36" s="487"/>
      <c r="F36" s="487"/>
      <c r="G36" s="17"/>
      <c r="H36" s="17"/>
      <c r="I36" s="17"/>
      <c r="J36" s="17"/>
      <c r="K36" s="30"/>
      <c r="L36" s="31"/>
    </row>
    <row r="37" spans="2:13" ht="20.149999999999999" customHeight="1" thickBot="1" x14ac:dyDescent="0.5">
      <c r="B37" s="32"/>
      <c r="C37" s="33"/>
      <c r="D37" s="488"/>
      <c r="E37" s="488"/>
      <c r="F37" s="488"/>
      <c r="G37" s="33"/>
      <c r="H37" s="33"/>
      <c r="I37" s="33"/>
      <c r="J37" s="33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89" t="s">
        <v>13</v>
      </c>
      <c r="K39" s="490"/>
      <c r="L39" s="38">
        <f>SUM(L17:L37)</f>
        <v>70</v>
      </c>
      <c r="M39" s="63">
        <f>SUM(P18:P28)-L39*0.02</f>
        <v>18.3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91" t="s">
        <v>19</v>
      </c>
      <c r="K41" s="492"/>
      <c r="L41" s="41">
        <f>L39-L40</f>
        <v>70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6.3</v>
      </c>
    </row>
    <row r="43" spans="2:13" ht="20.149999999999999" customHeight="1" thickBot="1" x14ac:dyDescent="0.5">
      <c r="B43" s="10" t="s">
        <v>23</v>
      </c>
      <c r="C43" s="6"/>
      <c r="D43" s="6"/>
      <c r="E43" s="6"/>
      <c r="F43" s="6"/>
      <c r="G43" s="6"/>
      <c r="H43" s="6"/>
      <c r="I43" s="6"/>
      <c r="J43" s="485" t="s">
        <v>21</v>
      </c>
      <c r="K43" s="486"/>
      <c r="L43" s="43">
        <f>L41+L42</f>
        <v>76.3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43">
    <mergeCell ref="B15:D15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34:F34"/>
    <mergeCell ref="D23:F23"/>
    <mergeCell ref="I23:J23"/>
    <mergeCell ref="D24:F24"/>
    <mergeCell ref="I24:J24"/>
    <mergeCell ref="D25:F25"/>
    <mergeCell ref="I25:J25"/>
    <mergeCell ref="J43:K43"/>
    <mergeCell ref="I26:J26"/>
    <mergeCell ref="I27:J27"/>
    <mergeCell ref="I28:J28"/>
    <mergeCell ref="I29:J29"/>
    <mergeCell ref="I30:J30"/>
    <mergeCell ref="D35:F35"/>
    <mergeCell ref="D36:F36"/>
    <mergeCell ref="D37:F37"/>
    <mergeCell ref="J39:K39"/>
    <mergeCell ref="J41:K41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1218B-89D3-4C6F-AB81-31022FBE87C4}">
  <sheetPr codeName="Sheet94">
    <tabColor rgb="FF7030A0"/>
    <pageSetUpPr fitToPage="1"/>
  </sheetPr>
  <dimension ref="B1:P47"/>
  <sheetViews>
    <sheetView topLeftCell="A28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632812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585</v>
      </c>
      <c r="J10" s="24" t="s">
        <v>27</v>
      </c>
      <c r="K10" s="464">
        <v>202504273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Koufu - Dessert                                     258 Pasir Ris Street 21,  Loyang Point, #02-313,  Singapore 510258</v>
      </c>
      <c r="G11" s="470"/>
      <c r="H11" s="471"/>
      <c r="J11" s="26" t="s">
        <v>9</v>
      </c>
      <c r="K11" s="478">
        <v>45758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548" t="s">
        <v>2304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713</v>
      </c>
      <c r="D18" s="487" t="str">
        <f>VLOOKUP(C18,'Sales Master'!B$3:D$537,2,)</f>
        <v>Chendol 浆咯</v>
      </c>
      <c r="E18" s="487"/>
      <c r="F18" s="487"/>
      <c r="G18" s="17">
        <v>1</v>
      </c>
      <c r="H18" s="85" t="str">
        <f>VLOOKUP(C18,'Sales Master'!$B$3:$F$2488,5,0)</f>
        <v>NW(2.2:0.8) 3kg/ Pkt包</v>
      </c>
      <c r="I18" s="484" t="str">
        <f>VLOOKUP(C18,'Sales Master'!$B$3:$E$2488,4,0)</f>
        <v>DO!</v>
      </c>
      <c r="J18" s="484"/>
      <c r="K18" s="30">
        <f>VLOOKUP(C18,'Sales Master'!$B$3:$J$537,9,0)</f>
        <v>6.5</v>
      </c>
      <c r="L18" s="31">
        <f t="shared" ref="L18" si="0">K18*G18</f>
        <v>6.5</v>
      </c>
      <c r="N18" s="145">
        <f>VLOOKUP(C18,'Sales Master'!$B$3:$DA$2279,104,0)</f>
        <v>2.44</v>
      </c>
      <c r="O18" s="145">
        <f t="shared" ref="O18" si="1">K18-N18</f>
        <v>4.0600000000000005</v>
      </c>
      <c r="P18" s="145">
        <f t="shared" ref="P18" si="2">O18*G18</f>
        <v>4.0600000000000005</v>
      </c>
    </row>
    <row r="19" spans="2:16" ht="20.149999999999999" customHeight="1" x14ac:dyDescent="0.45">
      <c r="B19" s="29"/>
      <c r="C19" s="212" t="s">
        <v>702</v>
      </c>
      <c r="D19" s="487" t="str">
        <f>VLOOKUP(C19,'Sales Master'!B$3:D$537,2,)</f>
        <v>Durian Puree 榴莲酱</v>
      </c>
      <c r="E19" s="487"/>
      <c r="F19" s="487"/>
      <c r="G19" s="17">
        <v>1</v>
      </c>
      <c r="H19" s="85" t="str">
        <f>VLOOKUP(C19,'Sales Master'!$B$3:$F$2488,5,0)</f>
        <v>1 KG/ Box盒</v>
      </c>
      <c r="I19" s="484" t="str">
        <f>VLOOKUP(C19,'Sales Master'!$B$3:$E$2488,4,0)</f>
        <v>DO!</v>
      </c>
      <c r="J19" s="484"/>
      <c r="K19" s="30">
        <f>VLOOKUP(C19,'Sales Master'!$B$3:$J$537,9,0)</f>
        <v>7</v>
      </c>
      <c r="L19" s="31">
        <f t="shared" ref="L19" si="3">K19*G19</f>
        <v>7</v>
      </c>
      <c r="N19" s="145">
        <f>VLOOKUP(C19,'Sales Master'!$B$3:$DA$2279,104,0)</f>
        <v>4.71</v>
      </c>
      <c r="O19" s="145">
        <f t="shared" ref="O19" si="4">K19-N19</f>
        <v>2.29</v>
      </c>
      <c r="P19" s="145">
        <f t="shared" ref="P19" si="5">O19*G19</f>
        <v>2.29</v>
      </c>
    </row>
    <row r="20" spans="2:16" ht="20.149999999999999" customHeight="1" x14ac:dyDescent="0.45">
      <c r="B20" s="29"/>
      <c r="C20" s="212" t="s">
        <v>703</v>
      </c>
      <c r="D20" s="487" t="str">
        <f>VLOOKUP(C20,'Sales Master'!B$3:D$537,2,)</f>
        <v>Mango Puree 芒果酱</v>
      </c>
      <c r="E20" s="487"/>
      <c r="F20" s="487"/>
      <c r="G20" s="17">
        <v>1</v>
      </c>
      <c r="H20" s="85" t="str">
        <f>VLOOKUP(C20,'Sales Master'!$B$3:$F$2488,5,0)</f>
        <v>1 KG/ Box盒</v>
      </c>
      <c r="I20" s="484" t="str">
        <f>VLOOKUP(C20,'Sales Master'!$B$3:$E$2488,4,0)</f>
        <v>DO!</v>
      </c>
      <c r="J20" s="484"/>
      <c r="K20" s="30">
        <f>VLOOKUP(C20,'Sales Master'!$B$3:$J$537,9,0)</f>
        <v>7</v>
      </c>
      <c r="L20" s="31">
        <f t="shared" ref="L20:L25" si="6">K20*G20</f>
        <v>7</v>
      </c>
      <c r="N20" s="145">
        <f>VLOOKUP(C20,'Sales Master'!$B$3:$DA$2279,104,0)</f>
        <v>2.15</v>
      </c>
      <c r="O20" s="145">
        <f t="shared" ref="O20:O25" si="7">K20-N20</f>
        <v>4.8499999999999996</v>
      </c>
      <c r="P20" s="145">
        <f t="shared" ref="P20:P25" si="8">O20*G20</f>
        <v>4.8499999999999996</v>
      </c>
    </row>
    <row r="21" spans="2:16" ht="20.149999999999999" customHeight="1" x14ac:dyDescent="0.45">
      <c r="B21" s="29"/>
      <c r="C21" s="212" t="s">
        <v>807</v>
      </c>
      <c r="D21" s="487" t="str">
        <f>VLOOKUP(C21,'Sales Master'!B$3:D$537,2,)</f>
        <v>Chin Chow  仙草</v>
      </c>
      <c r="E21" s="487"/>
      <c r="F21" s="487"/>
      <c r="G21" s="17">
        <v>1</v>
      </c>
      <c r="H21" s="85" t="str">
        <f>VLOOKUP(C21,'Sales Master'!$B$3:$F$2488,5,0)</f>
        <v>4 KG/ Pkt包</v>
      </c>
      <c r="I21" s="484" t="str">
        <f>VLOOKUP(C21,'Sales Master'!$B$3:$E$2488,4,0)</f>
        <v>TSM</v>
      </c>
      <c r="J21" s="484"/>
      <c r="K21" s="30">
        <f>VLOOKUP(C21,'Sales Master'!$B$3:$J$537,9,0)</f>
        <v>6</v>
      </c>
      <c r="L21" s="31">
        <f t="shared" si="6"/>
        <v>6</v>
      </c>
      <c r="N21" s="145">
        <f>VLOOKUP(C21,'Sales Master'!$B$3:$DA$2279,104,0)</f>
        <v>4</v>
      </c>
      <c r="O21" s="145">
        <f t="shared" si="7"/>
        <v>2</v>
      </c>
      <c r="P21" s="145">
        <f t="shared" si="8"/>
        <v>2</v>
      </c>
    </row>
    <row r="22" spans="2:16" ht="20.149999999999999" customHeight="1" x14ac:dyDescent="0.45">
      <c r="B22" s="29"/>
      <c r="C22" s="212" t="s">
        <v>817</v>
      </c>
      <c r="D22" s="487" t="str">
        <f>VLOOKUP(C22,'Sales Master'!B$3:D$537,2,)</f>
        <v>Small Red Bean 小红豆</v>
      </c>
      <c r="E22" s="487"/>
      <c r="F22" s="487"/>
      <c r="G22" s="17">
        <v>2</v>
      </c>
      <c r="H22" s="85" t="str">
        <f>VLOOKUP(C22,'Sales Master'!$B$3:$F$2488,5,0)</f>
        <v>5 KG</v>
      </c>
      <c r="I22" s="484" t="str">
        <f>VLOOKUP(C22,'Sales Master'!$B$3:$E$2488,4,0)</f>
        <v>-</v>
      </c>
      <c r="J22" s="484"/>
      <c r="K22" s="30">
        <f>VLOOKUP(C22,'Sales Master'!$B$3:$J$537,9,0)</f>
        <v>17.5</v>
      </c>
      <c r="L22" s="31">
        <f t="shared" si="6"/>
        <v>35</v>
      </c>
      <c r="N22" s="145">
        <f>VLOOKUP(C22,'Sales Master'!$B$3:$DA$2279,104,0)</f>
        <v>12.75</v>
      </c>
      <c r="O22" s="145">
        <f t="shared" si="7"/>
        <v>4.75</v>
      </c>
      <c r="P22" s="145">
        <f t="shared" si="8"/>
        <v>9.5</v>
      </c>
    </row>
    <row r="23" spans="2:16" ht="20.149999999999999" customHeight="1" x14ac:dyDescent="0.45">
      <c r="B23" s="29"/>
      <c r="C23" s="212" t="s">
        <v>837</v>
      </c>
      <c r="D23" s="498" t="str">
        <f>VLOOKUP(C23,'Sales Master'!B$3:D$537,2,)</f>
        <v>Black Glutinous Rice 黑糯米</v>
      </c>
      <c r="E23" s="498"/>
      <c r="F23" s="498"/>
      <c r="G23" s="17">
        <v>1</v>
      </c>
      <c r="H23" s="85" t="str">
        <f>VLOOKUP(C23,'Sales Master'!$B$3:$F$2488,5,0)</f>
        <v>5 KGS</v>
      </c>
      <c r="I23" s="484" t="str">
        <f>VLOOKUP(C23,'Sales Master'!$B$3:$E$2488,4,0)</f>
        <v>-</v>
      </c>
      <c r="J23" s="484"/>
      <c r="K23" s="30">
        <f>VLOOKUP(C23,'Sales Master'!$B$3:$J$537,9,0)</f>
        <v>18</v>
      </c>
      <c r="L23" s="31">
        <f t="shared" si="6"/>
        <v>18</v>
      </c>
      <c r="N23" s="145">
        <f>VLOOKUP(C23,'Sales Master'!$B$3:$DA$2279,104,0)</f>
        <v>12</v>
      </c>
      <c r="O23" s="145">
        <f t="shared" si="7"/>
        <v>6</v>
      </c>
      <c r="P23" s="145">
        <f t="shared" si="8"/>
        <v>6</v>
      </c>
    </row>
    <row r="24" spans="2:16" ht="20.149999999999999" customHeight="1" x14ac:dyDescent="0.45">
      <c r="B24" s="29"/>
      <c r="C24" s="212" t="s">
        <v>841</v>
      </c>
      <c r="D24" s="524" t="str">
        <f>VLOOKUP(C24,'Sales Master'!B$3:D$537,2,)</f>
        <v>White Glutinous Rice 白糯米</v>
      </c>
      <c r="E24" s="524"/>
      <c r="F24" s="524"/>
      <c r="G24" s="17">
        <v>1</v>
      </c>
      <c r="H24" s="85" t="str">
        <f>VLOOKUP(C24,'Sales Master'!$B$3:$F$2488,5,0)</f>
        <v>5 KG</v>
      </c>
      <c r="I24" s="484" t="str">
        <f>VLOOKUP(C24,'Sales Master'!$B$3:$E$2488,4,0)</f>
        <v>-</v>
      </c>
      <c r="J24" s="484"/>
      <c r="K24" s="30">
        <f>VLOOKUP(C24,'Sales Master'!$B$3:$J$537,9,0)</f>
        <v>10</v>
      </c>
      <c r="L24" s="31">
        <f t="shared" si="6"/>
        <v>10</v>
      </c>
      <c r="N24" s="145">
        <f>VLOOKUP(C24,'Sales Master'!$B$3:$DA$2279,104,0)</f>
        <v>6</v>
      </c>
      <c r="O24" s="145">
        <f t="shared" si="7"/>
        <v>4</v>
      </c>
      <c r="P24" s="145">
        <f t="shared" si="8"/>
        <v>4</v>
      </c>
    </row>
    <row r="25" spans="2:16" ht="20.149999999999999" customHeight="1" x14ac:dyDescent="0.45">
      <c r="B25" s="29"/>
      <c r="C25" s="212" t="s">
        <v>966</v>
      </c>
      <c r="D25" s="487" t="str">
        <f>VLOOKUP(C25,'Sales Master'!B$3:D$537,2,)</f>
        <v>Coconut Milk 椰浆</v>
      </c>
      <c r="E25" s="487"/>
      <c r="F25" s="487"/>
      <c r="G25" s="17">
        <v>3</v>
      </c>
      <c r="H25" s="85" t="str">
        <f>VLOOKUP(C25,'Sales Master'!$B$3:$F$2488,5,0)</f>
        <v>(1L x 12bag)/箱</v>
      </c>
      <c r="I25" s="484" t="str">
        <f>VLOOKUP(C25,'Sales Master'!$B$3:$E$2488,4,0)</f>
        <v>Kara UHT</v>
      </c>
      <c r="J25" s="484"/>
      <c r="K25" s="30">
        <f>VLOOKUP(C25,'Sales Master'!$B$3:$J$537,9,0)</f>
        <v>54</v>
      </c>
      <c r="L25" s="31">
        <f t="shared" si="6"/>
        <v>162</v>
      </c>
      <c r="N25" s="145">
        <f>VLOOKUP(C25,'Sales Master'!$B$3:$DA$2279,104,0)</f>
        <v>35.799999999999997</v>
      </c>
      <c r="O25" s="145">
        <f t="shared" si="7"/>
        <v>18.200000000000003</v>
      </c>
      <c r="P25" s="145">
        <f t="shared" si="8"/>
        <v>54.600000000000009</v>
      </c>
    </row>
    <row r="26" spans="2:16" ht="20.149999999999999" customHeight="1" x14ac:dyDescent="0.45">
      <c r="B26" s="29"/>
      <c r="C26" s="212" t="s">
        <v>1253</v>
      </c>
      <c r="D26" s="487" t="str">
        <f>VLOOKUP(C26,'Sales Master'!B$3:D$537,2,)</f>
        <v>Corn Cream 玉米浆</v>
      </c>
      <c r="E26" s="487"/>
      <c r="F26" s="487"/>
      <c r="G26" s="17">
        <v>1</v>
      </c>
      <c r="H26" s="85" t="str">
        <f>VLOOKUP(C26,'Sales Master'!$B$3:$F$2488,5,0)</f>
        <v>24 CAN/ Ctn</v>
      </c>
      <c r="I26" s="484" t="str">
        <f>VLOOKUP(C26,'Sales Master'!$B$3:$E$2488,4,0)</f>
        <v>Golden Boy</v>
      </c>
      <c r="J26" s="484"/>
      <c r="K26" s="30">
        <f>VLOOKUP(C26,'Sales Master'!$B$3:$J$537,9,0)</f>
        <v>20.5</v>
      </c>
      <c r="L26" s="31">
        <f t="shared" ref="L26" si="9">K26*G26</f>
        <v>20.5</v>
      </c>
      <c r="N26" s="145">
        <f>VLOOKUP(C26,'Sales Master'!$B$3:$DA$2279,104,0)</f>
        <v>16</v>
      </c>
      <c r="O26" s="145">
        <f t="shared" ref="O26" si="10">K26-N26</f>
        <v>4.5</v>
      </c>
      <c r="P26" s="145">
        <f t="shared" ref="P26" si="11">O26*G26</f>
        <v>4.5</v>
      </c>
    </row>
    <row r="27" spans="2:16" ht="20.149999999999999" customHeight="1" x14ac:dyDescent="0.45">
      <c r="B27" s="29"/>
      <c r="C27" s="212"/>
      <c r="D27" s="487"/>
      <c r="E27" s="487"/>
      <c r="F27" s="487"/>
      <c r="G27" s="17"/>
      <c r="H27" s="85"/>
      <c r="I27" s="484"/>
      <c r="J27" s="484"/>
      <c r="K27" s="30"/>
      <c r="L27" s="31"/>
      <c r="N27" s="145"/>
      <c r="O27" s="145"/>
      <c r="P27" s="145"/>
    </row>
    <row r="28" spans="2:16" ht="20.149999999999999" customHeight="1" x14ac:dyDescent="0.45">
      <c r="B28" s="29"/>
      <c r="C28" s="212"/>
      <c r="D28" s="498"/>
      <c r="E28" s="498"/>
      <c r="F28" s="498"/>
      <c r="G28" s="17"/>
      <c r="H28" s="85"/>
      <c r="I28" s="484"/>
      <c r="J28" s="484"/>
      <c r="K28" s="30"/>
      <c r="L28" s="31"/>
      <c r="N28" s="145"/>
      <c r="O28" s="145"/>
      <c r="P28" s="145"/>
    </row>
    <row r="29" spans="2:16" ht="20.149999999999999" customHeight="1" x14ac:dyDescent="0.45">
      <c r="B29" s="29"/>
      <c r="C29" s="212"/>
      <c r="D29" s="487"/>
      <c r="E29" s="487"/>
      <c r="F29" s="487"/>
      <c r="G29" s="17"/>
      <c r="H29" s="85"/>
      <c r="I29" s="484"/>
      <c r="J29" s="484"/>
      <c r="K29" s="30"/>
      <c r="L29" s="31"/>
      <c r="N29" s="145"/>
      <c r="O29" s="145"/>
      <c r="P29" s="145"/>
    </row>
    <row r="30" spans="2:16" ht="20.149999999999999" customHeight="1" x14ac:dyDescent="0.45">
      <c r="B30" s="29"/>
      <c r="C30" s="212"/>
      <c r="D30" s="487"/>
      <c r="E30" s="487"/>
      <c r="F30" s="487"/>
      <c r="G30" s="17"/>
      <c r="H30" s="85"/>
      <c r="I30" s="484"/>
      <c r="J30" s="484"/>
      <c r="K30" s="30"/>
      <c r="L30" s="31"/>
      <c r="N30" s="145"/>
      <c r="O30" s="145"/>
      <c r="P30" s="145"/>
    </row>
    <row r="31" spans="2:16" ht="20.149999999999999" customHeight="1" x14ac:dyDescent="0.45">
      <c r="B31" s="29"/>
      <c r="C31" s="212"/>
      <c r="D31" s="487"/>
      <c r="E31" s="487"/>
      <c r="F31" s="487"/>
      <c r="G31" s="17"/>
      <c r="H31" s="85"/>
      <c r="I31" s="484"/>
      <c r="J31" s="484"/>
      <c r="K31" s="30"/>
      <c r="L31" s="31"/>
      <c r="N31" s="145"/>
      <c r="O31" s="145"/>
      <c r="P31" s="145"/>
    </row>
    <row r="32" spans="2:16" ht="20.149999999999999" customHeight="1" x14ac:dyDescent="0.45">
      <c r="B32" s="29"/>
      <c r="C32" s="212"/>
      <c r="D32" s="487"/>
      <c r="E32" s="487"/>
      <c r="F32" s="487"/>
      <c r="G32" s="17"/>
      <c r="H32" s="85"/>
      <c r="I32" s="484"/>
      <c r="J32" s="484"/>
      <c r="K32" s="30"/>
      <c r="L32" s="31"/>
      <c r="N32" s="145"/>
      <c r="O32" s="145"/>
      <c r="P32" s="145"/>
    </row>
    <row r="33" spans="2:13" ht="20.149999999999999" customHeight="1" thickBot="1" x14ac:dyDescent="0.5">
      <c r="B33" s="32"/>
      <c r="C33" s="33"/>
      <c r="D33" s="488"/>
      <c r="E33" s="488"/>
      <c r="F33" s="488"/>
      <c r="G33" s="33"/>
      <c r="H33" s="33"/>
      <c r="I33" s="33"/>
      <c r="J33" s="33"/>
      <c r="K33" s="34"/>
      <c r="L33" s="35"/>
    </row>
    <row r="34" spans="2:13" ht="20.149999999999999" customHeight="1" thickBot="1" x14ac:dyDescent="0.5">
      <c r="B34" s="36"/>
      <c r="L34" s="37"/>
    </row>
    <row r="35" spans="2:13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89" t="s">
        <v>13</v>
      </c>
      <c r="K35" s="490"/>
      <c r="L35" s="38">
        <f>SUM(L18:L34)</f>
        <v>272</v>
      </c>
      <c r="M35" s="63">
        <f>SUM(P18:P34)-L35*0.02</f>
        <v>86.360000000000014</v>
      </c>
    </row>
    <row r="36" spans="2:13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3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91" t="s">
        <v>19</v>
      </c>
      <c r="K37" s="492"/>
      <c r="L37" s="41">
        <f>L35-L36</f>
        <v>272</v>
      </c>
    </row>
    <row r="38" spans="2:13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24.48</v>
      </c>
    </row>
    <row r="39" spans="2:13" ht="20.149999999999999" customHeight="1" thickBot="1" x14ac:dyDescent="0.5">
      <c r="B39" s="10" t="s">
        <v>23</v>
      </c>
      <c r="C39" s="6"/>
      <c r="D39" s="6"/>
      <c r="E39" s="6"/>
      <c r="F39" s="6"/>
      <c r="G39" s="6"/>
      <c r="H39" s="6"/>
      <c r="I39" s="6"/>
      <c r="J39" s="485" t="s">
        <v>21</v>
      </c>
      <c r="K39" s="486"/>
      <c r="L39" s="43">
        <f>L37+L38</f>
        <v>296.48</v>
      </c>
    </row>
    <row r="40" spans="2:13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44"/>
      <c r="C45" s="45"/>
      <c r="D45" s="45"/>
      <c r="J45" s="45"/>
      <c r="K45" s="45"/>
      <c r="L45" s="46"/>
    </row>
    <row r="46" spans="2:13" ht="20.149999999999999" customHeight="1" x14ac:dyDescent="0.45">
      <c r="B46" s="36" t="s">
        <v>25</v>
      </c>
      <c r="J46" s="19" t="s">
        <v>26</v>
      </c>
      <c r="L46" s="37"/>
    </row>
    <row r="47" spans="2:13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9">
    <mergeCell ref="D18:F18"/>
    <mergeCell ref="I18:J18"/>
    <mergeCell ref="D17:F17"/>
    <mergeCell ref="I23:J23"/>
    <mergeCell ref="D23:F23"/>
    <mergeCell ref="I17:J17"/>
    <mergeCell ref="I20:J20"/>
    <mergeCell ref="D22:F22"/>
    <mergeCell ref="D20:F20"/>
    <mergeCell ref="I22:J22"/>
    <mergeCell ref="I19:J19"/>
    <mergeCell ref="D19:F19"/>
    <mergeCell ref="D21:F21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31:F31"/>
    <mergeCell ref="I31:J31"/>
    <mergeCell ref="D29:F29"/>
    <mergeCell ref="I29:J29"/>
    <mergeCell ref="D27:F27"/>
    <mergeCell ref="D30:F30"/>
    <mergeCell ref="I30:J30"/>
    <mergeCell ref="J39:K39"/>
    <mergeCell ref="J37:K37"/>
    <mergeCell ref="D33:F33"/>
    <mergeCell ref="J35:K35"/>
    <mergeCell ref="D32:F32"/>
    <mergeCell ref="I32:J32"/>
    <mergeCell ref="D24:F24"/>
    <mergeCell ref="I24:J24"/>
    <mergeCell ref="D28:F28"/>
    <mergeCell ref="I28:J28"/>
    <mergeCell ref="I25:J25"/>
    <mergeCell ref="D25:F25"/>
    <mergeCell ref="I27:J27"/>
    <mergeCell ref="I26:J26"/>
    <mergeCell ref="D26:F26"/>
  </mergeCells>
  <pageMargins left="0.511811023622047" right="0.39370078740157499" top="0" bottom="0" header="0.31496062992126" footer="0.31496062992126"/>
  <pageSetup paperSize="9" scale="77"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1410C-CC6F-41D8-BBD7-33EEA45CA281}">
  <sheetPr codeName="Sheet93">
    <tabColor rgb="FF7030A0"/>
    <pageSetUpPr fitToPage="1"/>
  </sheetPr>
  <dimension ref="B1:P51"/>
  <sheetViews>
    <sheetView workbookViewId="0">
      <selection activeCell="B1" sqref="B1:L51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5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591</v>
      </c>
      <c r="J10" s="24" t="s">
        <v>27</v>
      </c>
      <c r="K10" s="502">
        <v>202003454</v>
      </c>
      <c r="L10" s="503"/>
    </row>
    <row r="11" spans="2:12" ht="20.149999999999999" customHeight="1" x14ac:dyDescent="0.45">
      <c r="B11" s="466" t="s">
        <v>1144</v>
      </c>
      <c r="C11" s="467"/>
      <c r="D11" s="468"/>
      <c r="E11" s="25"/>
      <c r="F11" s="469" t="str">
        <f>VLOOKUP(H10,'Delivery Location'!A$4:N$466,2,0)</f>
        <v>WaterWay Point                                            83 Punggol Central #02-20/21 Singapore 828761                               (DRINK STALL)</v>
      </c>
      <c r="G11" s="470"/>
      <c r="H11" s="471"/>
      <c r="J11" s="26" t="s">
        <v>9</v>
      </c>
      <c r="K11" s="500" t="s">
        <v>590</v>
      </c>
      <c r="L11" s="483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 t="s">
        <v>306</v>
      </c>
      <c r="D18" s="487" t="e">
        <f>VLOOKUP(C18,'Sales Master'!B$3:D$537,2,)</f>
        <v>#N/A</v>
      </c>
      <c r="E18" s="487"/>
      <c r="F18" s="487"/>
      <c r="G18" s="17">
        <v>1</v>
      </c>
      <c r="H18" s="56" t="e">
        <f>VLOOKUP(C18,'Sales Master'!$B$3:$F$2420,5,0)</f>
        <v>#N/A</v>
      </c>
      <c r="I18" s="494" t="e">
        <f>VLOOKUP(C18,'Sales Master'!$B$3:$E$2420,4,0)</f>
        <v>#N/A</v>
      </c>
      <c r="J18" s="494"/>
      <c r="K18" s="30" t="e">
        <f>VLOOKUP(C18,'Sales Master'!B$3:AO$537,40,0)</f>
        <v>#N/A</v>
      </c>
      <c r="L18" s="64" t="e">
        <f>K18*G18</f>
        <v>#N/A</v>
      </c>
      <c r="M18" s="65"/>
      <c r="N18" s="145" t="e">
        <f>VLOOKUP(C18,'Sales Master'!$B$3:$DA$2279,104,0)</f>
        <v>#N/A</v>
      </c>
      <c r="O18" s="145" t="e">
        <f>K18-N18</f>
        <v>#N/A</v>
      </c>
      <c r="P18" s="145" t="e">
        <f>O18*G18</f>
        <v>#N/A</v>
      </c>
    </row>
    <row r="19" spans="2:16" ht="20.149999999999999" customHeight="1" x14ac:dyDescent="0.45">
      <c r="B19" s="29"/>
      <c r="C19" s="17"/>
      <c r="D19" s="487"/>
      <c r="E19" s="487"/>
      <c r="F19" s="487"/>
      <c r="G19" s="17"/>
      <c r="H19" s="56"/>
      <c r="I19" s="494"/>
      <c r="J19" s="494"/>
      <c r="K19" s="30"/>
      <c r="L19" s="64"/>
      <c r="M19" s="65"/>
    </row>
    <row r="20" spans="2:16" ht="20.149999999999999" customHeight="1" x14ac:dyDescent="0.45">
      <c r="B20" s="29"/>
      <c r="C20" s="17"/>
      <c r="D20" s="487"/>
      <c r="E20" s="487"/>
      <c r="F20" s="487"/>
      <c r="G20" s="17"/>
      <c r="H20" s="56"/>
      <c r="I20" s="494"/>
      <c r="J20" s="494"/>
      <c r="K20" s="30"/>
      <c r="L20" s="64"/>
      <c r="M20" s="65"/>
    </row>
    <row r="21" spans="2:16" ht="20.149999999999999" customHeight="1" x14ac:dyDescent="0.45">
      <c r="B21" s="29"/>
      <c r="C21" s="17"/>
      <c r="D21" s="487"/>
      <c r="E21" s="487"/>
      <c r="F21" s="487"/>
      <c r="G21" s="17"/>
      <c r="H21" s="56"/>
      <c r="I21" s="494"/>
      <c r="J21" s="494"/>
      <c r="K21" s="30"/>
      <c r="L21" s="64"/>
      <c r="M21" s="65"/>
    </row>
    <row r="22" spans="2:16" ht="20.149999999999999" customHeight="1" x14ac:dyDescent="0.45">
      <c r="B22" s="29"/>
      <c r="C22" s="17"/>
      <c r="D22" s="487"/>
      <c r="E22" s="487"/>
      <c r="F22" s="487"/>
      <c r="G22" s="17"/>
      <c r="H22" s="56"/>
      <c r="I22" s="494"/>
      <c r="J22" s="494"/>
      <c r="K22" s="30"/>
      <c r="L22" s="64"/>
      <c r="M22" s="65"/>
    </row>
    <row r="23" spans="2:16" ht="20.149999999999999" customHeight="1" x14ac:dyDescent="0.45">
      <c r="B23" s="29"/>
      <c r="C23" s="17"/>
      <c r="D23" s="487"/>
      <c r="E23" s="487"/>
      <c r="F23" s="487"/>
      <c r="G23" s="17"/>
      <c r="H23" s="56"/>
      <c r="I23" s="494"/>
      <c r="J23" s="494"/>
      <c r="K23" s="30"/>
      <c r="L23" s="64"/>
      <c r="M23" s="65"/>
      <c r="N23" s="93"/>
    </row>
    <row r="24" spans="2:16" ht="20.149999999999999" customHeight="1" x14ac:dyDescent="0.45">
      <c r="B24" s="29"/>
      <c r="C24" s="17"/>
      <c r="D24" s="487"/>
      <c r="E24" s="487"/>
      <c r="F24" s="487"/>
      <c r="G24" s="17"/>
      <c r="H24" s="56"/>
      <c r="I24" s="494"/>
      <c r="J24" s="494"/>
      <c r="K24" s="30"/>
      <c r="L24" s="64"/>
      <c r="M24" s="65"/>
    </row>
    <row r="25" spans="2:16" ht="20.149999999999999" customHeight="1" x14ac:dyDescent="0.45">
      <c r="B25" s="29"/>
      <c r="C25" s="17"/>
      <c r="D25" s="487"/>
      <c r="E25" s="487"/>
      <c r="F25" s="487"/>
      <c r="G25" s="17"/>
      <c r="H25" s="56"/>
      <c r="I25" s="494"/>
      <c r="J25" s="494"/>
      <c r="K25" s="30"/>
      <c r="L25" s="64"/>
      <c r="M25" s="65"/>
      <c r="N25" s="93"/>
    </row>
    <row r="26" spans="2:16" ht="20.149999999999999" customHeight="1" x14ac:dyDescent="0.45">
      <c r="B26" s="29"/>
      <c r="C26" s="17"/>
      <c r="D26" s="487"/>
      <c r="E26" s="487"/>
      <c r="F26" s="487"/>
      <c r="G26" s="17"/>
      <c r="H26" s="56"/>
      <c r="I26" s="494"/>
      <c r="J26" s="494"/>
      <c r="K26" s="30"/>
      <c r="L26" s="64"/>
      <c r="M26" s="65"/>
    </row>
    <row r="27" spans="2:16" ht="20.149999999999999" customHeight="1" x14ac:dyDescent="0.45">
      <c r="B27" s="29"/>
      <c r="C27" s="17"/>
      <c r="D27" s="487"/>
      <c r="E27" s="487"/>
      <c r="F27" s="487"/>
      <c r="G27" s="17"/>
      <c r="H27" s="56"/>
      <c r="I27" s="494"/>
      <c r="J27" s="494"/>
      <c r="K27" s="30"/>
      <c r="L27" s="64"/>
      <c r="M27" s="65"/>
      <c r="N27" s="93"/>
    </row>
    <row r="28" spans="2:16" ht="20.149999999999999" customHeight="1" x14ac:dyDescent="0.45">
      <c r="B28" s="29"/>
      <c r="C28" s="17"/>
      <c r="D28" s="487"/>
      <c r="E28" s="487"/>
      <c r="F28" s="487"/>
      <c r="G28" s="17"/>
      <c r="H28" s="56"/>
      <c r="I28" s="494"/>
      <c r="J28" s="494"/>
      <c r="K28" s="30"/>
      <c r="L28" s="64"/>
      <c r="M28" s="65"/>
    </row>
    <row r="29" spans="2:16" ht="20.149999999999999" customHeight="1" x14ac:dyDescent="0.45">
      <c r="B29" s="29"/>
      <c r="C29" s="17"/>
      <c r="D29" s="487"/>
      <c r="E29" s="487"/>
      <c r="F29" s="487"/>
      <c r="G29" s="17"/>
      <c r="H29" s="56"/>
      <c r="I29" s="494"/>
      <c r="J29" s="494"/>
      <c r="K29" s="30"/>
      <c r="L29" s="64"/>
      <c r="M29" s="65"/>
    </row>
    <row r="30" spans="2:16" ht="20.149999999999999" customHeight="1" x14ac:dyDescent="0.45">
      <c r="B30" s="29"/>
      <c r="C30" s="17"/>
      <c r="D30" s="493"/>
      <c r="E30" s="493"/>
      <c r="F30" s="493"/>
      <c r="G30" s="17"/>
      <c r="H30" s="56"/>
      <c r="I30" s="494"/>
      <c r="J30" s="494"/>
      <c r="K30" s="30"/>
      <c r="L30" s="64"/>
      <c r="M30" s="65"/>
    </row>
    <row r="31" spans="2:16" ht="20.149999999999999" customHeight="1" x14ac:dyDescent="0.45">
      <c r="B31" s="29"/>
      <c r="C31" s="17"/>
      <c r="D31" s="493"/>
      <c r="E31" s="493"/>
      <c r="F31" s="493"/>
      <c r="G31" s="17"/>
      <c r="H31" s="56"/>
      <c r="I31" s="494"/>
      <c r="J31" s="494"/>
      <c r="K31" s="30"/>
      <c r="L31" s="64"/>
      <c r="M31" s="65"/>
    </row>
    <row r="32" spans="2:16" ht="20.149999999999999" customHeight="1" x14ac:dyDescent="0.45">
      <c r="B32" s="29"/>
      <c r="C32" s="17"/>
      <c r="D32" s="493"/>
      <c r="E32" s="493"/>
      <c r="F32" s="493"/>
      <c r="G32" s="17"/>
      <c r="H32" s="56"/>
      <c r="I32" s="494"/>
      <c r="J32" s="494"/>
      <c r="K32" s="30"/>
      <c r="L32" s="64"/>
      <c r="M32" s="65"/>
    </row>
    <row r="33" spans="2:13" ht="20.149999999999999" customHeight="1" x14ac:dyDescent="0.45">
      <c r="B33" s="29"/>
      <c r="C33" s="17"/>
      <c r="G33" s="17"/>
      <c r="H33" s="56"/>
      <c r="I33" s="458"/>
      <c r="J33" s="458"/>
      <c r="K33" s="30"/>
      <c r="L33" s="64"/>
      <c r="M33" s="65"/>
    </row>
    <row r="34" spans="2:13" ht="20.149999999999999" customHeight="1" x14ac:dyDescent="0.45">
      <c r="B34" s="29"/>
      <c r="C34" s="17"/>
      <c r="G34" s="17"/>
      <c r="H34" s="56"/>
      <c r="I34" s="458"/>
      <c r="J34" s="458"/>
      <c r="K34" s="30"/>
      <c r="L34" s="64"/>
      <c r="M34" s="65"/>
    </row>
    <row r="35" spans="2:13" ht="20.149999999999999" customHeight="1" x14ac:dyDescent="0.45">
      <c r="B35" s="29"/>
      <c r="C35" s="17"/>
      <c r="G35" s="17"/>
      <c r="H35" s="56"/>
      <c r="I35" s="458"/>
      <c r="J35" s="458"/>
      <c r="K35" s="30"/>
      <c r="L35" s="64"/>
      <c r="M35" s="65"/>
    </row>
    <row r="36" spans="2:13" ht="20.149999999999999" customHeight="1" x14ac:dyDescent="0.45">
      <c r="B36" s="29"/>
      <c r="C36" s="17"/>
      <c r="D36" s="487"/>
      <c r="E36" s="487"/>
      <c r="F36" s="487"/>
      <c r="G36" s="17"/>
      <c r="H36" s="56"/>
      <c r="I36" s="458"/>
      <c r="J36" s="458"/>
      <c r="K36" s="30"/>
      <c r="L36" s="64"/>
    </row>
    <row r="37" spans="2:13" ht="20.149999999999999" customHeight="1" thickBot="1" x14ac:dyDescent="0.5">
      <c r="B37" s="32"/>
      <c r="C37" s="33"/>
      <c r="D37" s="488"/>
      <c r="E37" s="488"/>
      <c r="F37" s="488"/>
      <c r="G37" s="33"/>
      <c r="H37" s="57"/>
      <c r="I37" s="459"/>
      <c r="J37" s="459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D39" s="6"/>
      <c r="E39" s="6"/>
      <c r="F39" s="6"/>
      <c r="G39" s="6"/>
      <c r="H39" s="6"/>
      <c r="I39" s="6"/>
      <c r="J39" s="489" t="s">
        <v>13</v>
      </c>
      <c r="K39" s="490"/>
      <c r="L39" s="38" t="e">
        <f>SUM(L17:L38)</f>
        <v>#N/A</v>
      </c>
      <c r="M39" s="63">
        <f>341.3-365.3</f>
        <v>-24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 t="e">
        <f>L39*K40</f>
        <v>#N/A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91" t="s">
        <v>19</v>
      </c>
      <c r="K41" s="492"/>
      <c r="L41" s="41" t="e">
        <f>L39-L40</f>
        <v>#N/A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 t="e">
        <f>L41*K42</f>
        <v>#N/A</v>
      </c>
    </row>
    <row r="43" spans="2:13" ht="20.149999999999999" customHeight="1" thickBot="1" x14ac:dyDescent="0.5">
      <c r="B43" s="10" t="s">
        <v>676</v>
      </c>
      <c r="C43" s="6"/>
      <c r="D43" s="6"/>
      <c r="E43" s="6"/>
      <c r="F43" s="6"/>
      <c r="G43" s="6"/>
      <c r="H43" s="6"/>
      <c r="I43" s="6"/>
      <c r="J43" s="485" t="s">
        <v>21</v>
      </c>
      <c r="K43" s="486"/>
      <c r="L43" s="43" t="e">
        <f>L41+L42</f>
        <v>#N/A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144" t="s">
        <v>666</v>
      </c>
      <c r="C45" s="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5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19:F19"/>
    <mergeCell ref="I19:J19"/>
    <mergeCell ref="D17:F17"/>
    <mergeCell ref="I17:J17"/>
    <mergeCell ref="D18:F18"/>
    <mergeCell ref="I18:J18"/>
    <mergeCell ref="I24:J24"/>
    <mergeCell ref="D20:F20"/>
    <mergeCell ref="I20:J20"/>
    <mergeCell ref="D21:F21"/>
    <mergeCell ref="I21:J21"/>
    <mergeCell ref="J43:K43"/>
    <mergeCell ref="D28:F28"/>
    <mergeCell ref="I28:J28"/>
    <mergeCell ref="D36:F36"/>
    <mergeCell ref="I36:J36"/>
    <mergeCell ref="D29:F29"/>
    <mergeCell ref="I29:J29"/>
    <mergeCell ref="D30:F30"/>
    <mergeCell ref="I30:J30"/>
    <mergeCell ref="D31:F31"/>
    <mergeCell ref="I31:J31"/>
    <mergeCell ref="D32:F32"/>
    <mergeCell ref="I32:J32"/>
    <mergeCell ref="I33:J33"/>
    <mergeCell ref="I34:J34"/>
    <mergeCell ref="I35:J35"/>
    <mergeCell ref="B1:L8"/>
    <mergeCell ref="D37:F37"/>
    <mergeCell ref="I37:J37"/>
    <mergeCell ref="J39:K39"/>
    <mergeCell ref="J41:K41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F8275-A3D2-4B5A-8506-2B2733E4F7D5}">
  <sheetPr codeName="Sheet144">
    <tabColor rgb="FF7030A0"/>
    <pageSetUpPr fitToPage="1"/>
  </sheetPr>
  <dimension ref="B1:O51"/>
  <sheetViews>
    <sheetView topLeftCell="A2" workbookViewId="0">
      <selection activeCell="K42" sqref="K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593</v>
      </c>
      <c r="J10" s="24" t="s">
        <v>27</v>
      </c>
      <c r="K10" s="464">
        <v>202003211</v>
      </c>
      <c r="L10" s="465"/>
    </row>
    <row r="11" spans="2:12" ht="20.149999999999999" customHeight="1" x14ac:dyDescent="0.45">
      <c r="B11" s="466" t="s">
        <v>1144</v>
      </c>
      <c r="C11" s="467"/>
      <c r="D11" s="468"/>
      <c r="E11" s="25"/>
      <c r="F11" s="469" t="str">
        <f>VLOOKUP(H10,'Delivery Location'!A$4:N$466,2,0)</f>
        <v xml:space="preserve">FORK &amp; SPOON - Dessert                          470, Lorong 6 Toa Payoh #02-70 Singapore 310470.                                            </v>
      </c>
      <c r="G11" s="470"/>
      <c r="H11" s="471"/>
      <c r="J11" s="26" t="s">
        <v>9</v>
      </c>
      <c r="K11" s="500">
        <v>44168</v>
      </c>
      <c r="L11" s="483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584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322</v>
      </c>
      <c r="D18" s="487" t="e">
        <f>VLOOKUP(C18,'Sales Master'!B$3:D$537,2,)</f>
        <v>#N/A</v>
      </c>
      <c r="E18" s="487"/>
      <c r="F18" s="487"/>
      <c r="G18" s="17">
        <v>40</v>
      </c>
      <c r="H18" s="56" t="e">
        <f>VLOOKUP(C18,'Sales Master'!$B$3:$F$2488,5,0)</f>
        <v>#N/A</v>
      </c>
      <c r="I18" s="494" t="e">
        <f>VLOOKUP(C18,'Sales Master'!$B$3:$E$2488,4,0)</f>
        <v>#N/A</v>
      </c>
      <c r="J18" s="494"/>
      <c r="K18" s="30" t="e">
        <f>VLOOKUP(C18,'Sales Master'!$B$3:$J$537,9,0)</f>
        <v>#N/A</v>
      </c>
      <c r="L18" s="31" t="e">
        <f>K18*G18</f>
        <v>#N/A</v>
      </c>
    </row>
    <row r="19" spans="2:15" ht="20.149999999999999" customHeight="1" x14ac:dyDescent="0.45">
      <c r="B19" s="29"/>
      <c r="C19" s="17" t="s">
        <v>324</v>
      </c>
      <c r="D19" s="487" t="e">
        <f>VLOOKUP(C19,'Sales Master'!B$3:D$537,2,)</f>
        <v>#N/A</v>
      </c>
      <c r="E19" s="487"/>
      <c r="F19" s="487"/>
      <c r="G19" s="17">
        <v>5</v>
      </c>
      <c r="H19" s="56" t="str">
        <f>VLOOKUP(C19,'[3]Sales Master'!B$3:F$736,5,0)</f>
        <v>1 kg</v>
      </c>
      <c r="I19" s="494" t="str">
        <f>VLOOKUP(C19,'[3]Sales Master'!B$3:E$736,4,0)</f>
        <v>-</v>
      </c>
      <c r="J19" s="494"/>
      <c r="K19" s="30" t="e">
        <f>VLOOKUP(C19,'Sales Master'!$B$3:$J$537,9,0)</f>
        <v>#N/A</v>
      </c>
      <c r="L19" s="31" t="e">
        <f>K19*G19</f>
        <v>#N/A</v>
      </c>
    </row>
    <row r="20" spans="2:15" ht="20.149999999999999" customHeight="1" x14ac:dyDescent="0.45">
      <c r="B20" s="29"/>
      <c r="C20" s="17"/>
      <c r="D20" s="487"/>
      <c r="E20" s="487"/>
      <c r="F20" s="487"/>
      <c r="G20" s="17"/>
      <c r="H20" s="56"/>
      <c r="I20" s="494"/>
      <c r="J20" s="494"/>
      <c r="K20" s="30"/>
      <c r="L20" s="31"/>
    </row>
    <row r="21" spans="2:15" ht="20.149999999999999" customHeight="1" x14ac:dyDescent="0.45">
      <c r="B21" s="29"/>
      <c r="C21" s="17"/>
      <c r="D21" s="487"/>
      <c r="E21" s="487"/>
      <c r="F21" s="487"/>
      <c r="G21" s="17"/>
      <c r="H21" s="56"/>
      <c r="I21" s="458"/>
      <c r="J21" s="458"/>
      <c r="K21" s="30"/>
      <c r="L21" s="31"/>
    </row>
    <row r="22" spans="2:15" ht="20.149999999999999" customHeight="1" x14ac:dyDescent="0.45">
      <c r="B22" s="29"/>
      <c r="C22" s="17"/>
      <c r="D22" s="487"/>
      <c r="E22" s="487"/>
      <c r="F22" s="487"/>
      <c r="G22" s="17"/>
      <c r="H22" s="56"/>
      <c r="I22" s="458"/>
      <c r="J22" s="458"/>
      <c r="K22" s="30"/>
      <c r="L22" s="31"/>
    </row>
    <row r="23" spans="2:15" ht="20.149999999999999" customHeight="1" x14ac:dyDescent="0.45">
      <c r="B23" s="29"/>
      <c r="C23" s="17"/>
      <c r="D23" s="487"/>
      <c r="E23" s="487"/>
      <c r="F23" s="487"/>
      <c r="G23" s="17"/>
      <c r="H23" s="56"/>
      <c r="I23" s="458"/>
      <c r="J23" s="458"/>
      <c r="K23" s="30"/>
      <c r="L23" s="31"/>
    </row>
    <row r="24" spans="2:15" ht="20.149999999999999" customHeight="1" x14ac:dyDescent="0.45">
      <c r="B24" s="29"/>
      <c r="C24" s="17"/>
      <c r="D24" s="487"/>
      <c r="E24" s="487"/>
      <c r="F24" s="487"/>
      <c r="G24" s="17"/>
      <c r="H24" s="56"/>
      <c r="I24" s="458"/>
      <c r="J24" s="458"/>
      <c r="K24" s="30"/>
      <c r="L24" s="31"/>
    </row>
    <row r="25" spans="2:15" ht="20.149999999999999" customHeight="1" x14ac:dyDescent="0.45">
      <c r="B25" s="29"/>
      <c r="C25" s="17"/>
      <c r="D25" s="487"/>
      <c r="E25" s="487"/>
      <c r="F25" s="487"/>
      <c r="G25" s="17"/>
      <c r="H25" s="56"/>
      <c r="I25" s="458"/>
      <c r="J25" s="458"/>
      <c r="K25" s="30"/>
      <c r="L25" s="31"/>
    </row>
    <row r="26" spans="2:15" ht="20.149999999999999" customHeight="1" x14ac:dyDescent="0.45">
      <c r="B26" s="29"/>
      <c r="C26" s="17"/>
      <c r="G26" s="17"/>
      <c r="H26" s="56"/>
      <c r="I26" s="458"/>
      <c r="J26" s="458"/>
      <c r="K26" s="30"/>
      <c r="L26" s="31"/>
    </row>
    <row r="27" spans="2:15" ht="20.149999999999999" customHeight="1" x14ac:dyDescent="0.45">
      <c r="B27" s="29"/>
      <c r="C27" s="17"/>
      <c r="G27" s="17"/>
      <c r="H27" s="56"/>
      <c r="I27" s="458"/>
      <c r="J27" s="458"/>
      <c r="K27" s="30"/>
      <c r="L27" s="31"/>
    </row>
    <row r="28" spans="2:15" ht="20.149999999999999" customHeight="1" x14ac:dyDescent="0.45">
      <c r="B28" s="29"/>
      <c r="C28" s="17"/>
      <c r="G28" s="17"/>
      <c r="H28" s="56"/>
      <c r="I28" s="458"/>
      <c r="J28" s="458"/>
      <c r="K28" s="30"/>
      <c r="L28" s="31"/>
    </row>
    <row r="29" spans="2:15" ht="20.149999999999999" customHeight="1" x14ac:dyDescent="0.45">
      <c r="B29" s="29"/>
      <c r="C29" s="17"/>
      <c r="G29" s="17"/>
      <c r="H29" s="56"/>
      <c r="I29" s="458"/>
      <c r="J29" s="458"/>
      <c r="K29" s="30"/>
      <c r="L29" s="31"/>
    </row>
    <row r="30" spans="2:15" ht="20.149999999999999" customHeight="1" x14ac:dyDescent="0.45">
      <c r="B30" s="29"/>
      <c r="C30" s="17"/>
      <c r="G30" s="17"/>
      <c r="H30" s="56"/>
      <c r="I30" s="458"/>
      <c r="J30" s="458"/>
      <c r="K30" s="30"/>
      <c r="L30" s="31"/>
    </row>
    <row r="31" spans="2:15" ht="20.149999999999999" customHeight="1" x14ac:dyDescent="0.45">
      <c r="B31" s="29"/>
      <c r="C31" s="17"/>
      <c r="G31" s="17"/>
      <c r="H31" s="56"/>
      <c r="I31" s="17"/>
      <c r="J31" s="17"/>
      <c r="K31" s="30"/>
      <c r="L31" s="31"/>
    </row>
    <row r="32" spans="2:15" ht="20.149999999999999" customHeight="1" x14ac:dyDescent="0.45">
      <c r="B32" s="29"/>
      <c r="C32" s="17"/>
      <c r="G32" s="17"/>
      <c r="H32" s="56"/>
      <c r="I32" s="17"/>
      <c r="J32" s="17"/>
      <c r="K32" s="30"/>
      <c r="L32" s="31"/>
    </row>
    <row r="33" spans="2:12" ht="20.149999999999999" customHeight="1" x14ac:dyDescent="0.45">
      <c r="B33" s="29"/>
      <c r="C33" s="17"/>
      <c r="G33" s="17"/>
      <c r="H33" s="56"/>
      <c r="I33" s="17"/>
      <c r="J33" s="17"/>
      <c r="K33" s="30"/>
      <c r="L33" s="31"/>
    </row>
    <row r="34" spans="2:12" ht="20.149999999999999" customHeight="1" x14ac:dyDescent="0.45">
      <c r="B34" s="29"/>
      <c r="C34" s="17"/>
      <c r="D34" s="487"/>
      <c r="E34" s="487"/>
      <c r="F34" s="487"/>
      <c r="G34" s="17"/>
      <c r="H34" s="56"/>
      <c r="I34" s="56"/>
      <c r="J34" s="17"/>
      <c r="K34" s="30"/>
      <c r="L34" s="31"/>
    </row>
    <row r="35" spans="2:12" ht="20.149999999999999" customHeight="1" x14ac:dyDescent="0.45">
      <c r="B35" s="29"/>
      <c r="C35" s="17"/>
      <c r="D35" s="487"/>
      <c r="E35" s="487"/>
      <c r="F35" s="487"/>
      <c r="G35" s="17"/>
      <c r="H35" s="56"/>
      <c r="I35" s="56"/>
      <c r="J35" s="17"/>
      <c r="K35" s="30"/>
      <c r="L35" s="31"/>
    </row>
    <row r="36" spans="2:12" ht="20.149999999999999" customHeight="1" x14ac:dyDescent="0.45">
      <c r="B36" s="29"/>
      <c r="C36" s="17"/>
      <c r="D36" s="487"/>
      <c r="E36" s="487"/>
      <c r="F36" s="487"/>
      <c r="G36" s="17"/>
      <c r="H36" s="17"/>
      <c r="I36" s="17"/>
      <c r="J36" s="17"/>
      <c r="K36" s="30"/>
      <c r="L36" s="31"/>
    </row>
    <row r="37" spans="2:12" ht="20.149999999999999" customHeight="1" thickBot="1" x14ac:dyDescent="0.5">
      <c r="B37" s="32"/>
      <c r="C37" s="33"/>
      <c r="D37" s="488"/>
      <c r="E37" s="488"/>
      <c r="F37" s="488"/>
      <c r="G37" s="33"/>
      <c r="H37" s="33"/>
      <c r="I37" s="33"/>
      <c r="J37" s="33"/>
      <c r="K37" s="34"/>
      <c r="L37" s="35"/>
    </row>
    <row r="38" spans="2:12" ht="20.149999999999999" customHeight="1" thickBot="1" x14ac:dyDescent="0.5">
      <c r="B38" s="36"/>
      <c r="L38" s="37"/>
    </row>
    <row r="39" spans="2:12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89" t="s">
        <v>13</v>
      </c>
      <c r="K39" s="490"/>
      <c r="L39" s="38" t="e">
        <f>SUM(L17:L37)</f>
        <v>#N/A</v>
      </c>
    </row>
    <row r="40" spans="2:12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 t="e">
        <f>L39*K40</f>
        <v>#N/A</v>
      </c>
    </row>
    <row r="41" spans="2:12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91" t="s">
        <v>19</v>
      </c>
      <c r="K41" s="492"/>
      <c r="L41" s="41" t="e">
        <f>L39-L40</f>
        <v>#N/A</v>
      </c>
    </row>
    <row r="42" spans="2:12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 t="e">
        <f>L41*K42</f>
        <v>#N/A</v>
      </c>
    </row>
    <row r="43" spans="2:12" ht="20.149999999999999" customHeight="1" thickBot="1" x14ac:dyDescent="0.5">
      <c r="B43" s="10" t="s">
        <v>23</v>
      </c>
      <c r="C43" s="6"/>
      <c r="D43" s="6"/>
      <c r="E43" s="6"/>
      <c r="F43" s="6"/>
      <c r="G43" s="6"/>
      <c r="H43" s="6"/>
      <c r="I43" s="6"/>
      <c r="J43" s="485" t="s">
        <v>21</v>
      </c>
      <c r="K43" s="486"/>
      <c r="L43" s="43" t="e">
        <f>L41+L42</f>
        <v>#N/A</v>
      </c>
    </row>
    <row r="44" spans="2:12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2" ht="20.149999999999999" customHeight="1" x14ac:dyDescent="0.45">
      <c r="B45" s="36"/>
      <c r="L45" s="37"/>
    </row>
    <row r="46" spans="2:12" ht="20.149999999999999" customHeight="1" x14ac:dyDescent="0.45">
      <c r="B46" s="36"/>
      <c r="L46" s="37"/>
    </row>
    <row r="47" spans="2:12" ht="20.149999999999999" customHeight="1" x14ac:dyDescent="0.45">
      <c r="B47" s="36"/>
      <c r="L47" s="37"/>
    </row>
    <row r="48" spans="2:12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43">
    <mergeCell ref="B1:L8"/>
    <mergeCell ref="D35:F35"/>
    <mergeCell ref="D36:F36"/>
    <mergeCell ref="D37:F37"/>
    <mergeCell ref="J39:K39"/>
    <mergeCell ref="D22:F22"/>
    <mergeCell ref="I22:J22"/>
    <mergeCell ref="D34:F34"/>
    <mergeCell ref="D23:F23"/>
    <mergeCell ref="I23:J23"/>
    <mergeCell ref="D24:F24"/>
    <mergeCell ref="I24:J24"/>
    <mergeCell ref="D25:F25"/>
    <mergeCell ref="I25:J25"/>
    <mergeCell ref="D20:F20"/>
    <mergeCell ref="I20:J20"/>
    <mergeCell ref="J41:K41"/>
    <mergeCell ref="J43:K43"/>
    <mergeCell ref="I26:J26"/>
    <mergeCell ref="I27:J27"/>
    <mergeCell ref="I28:J28"/>
    <mergeCell ref="I29:J29"/>
    <mergeCell ref="I30:J30"/>
    <mergeCell ref="D21:F21"/>
    <mergeCell ref="I21:J21"/>
    <mergeCell ref="D19:F19"/>
    <mergeCell ref="I19:J19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901E3-8813-4F5C-82FE-C614EE149B20}">
  <sheetPr codeName="Sheet60">
    <tabColor rgb="FFFFC000"/>
    <pageSetUpPr fitToPage="1"/>
  </sheetPr>
  <dimension ref="B1:P46"/>
  <sheetViews>
    <sheetView topLeftCell="A12" workbookViewId="0">
      <selection activeCell="I22" sqref="I22:J22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7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595</v>
      </c>
      <c r="J10" s="24" t="s">
        <v>27</v>
      </c>
      <c r="K10" s="464">
        <v>202504266</v>
      </c>
      <c r="L10" s="465"/>
    </row>
    <row r="11" spans="2:12" ht="20.149999999999999" customHeight="1" x14ac:dyDescent="0.45">
      <c r="B11" s="466" t="s">
        <v>678</v>
      </c>
      <c r="C11" s="467"/>
      <c r="D11" s="468"/>
      <c r="E11" s="25"/>
      <c r="F11" s="469" t="str">
        <f>VLOOKUP(H10,'Delivery Location'!A$4:N$466,2,0)</f>
        <v>Drink &amp; Dessert Stall                      11, Rivervale Crescent                              #01-01/02/03 Rivervale Mall Singapore 545082</v>
      </c>
      <c r="G11" s="470"/>
      <c r="H11" s="471"/>
      <c r="J11" s="26" t="s">
        <v>9</v>
      </c>
      <c r="K11" s="478">
        <v>45758</v>
      </c>
      <c r="L11" s="479"/>
    </row>
    <row r="12" spans="2:12" ht="20.149999999999999" customHeight="1" x14ac:dyDescent="0.45">
      <c r="B12" s="480" t="s">
        <v>524</v>
      </c>
      <c r="C12" s="453"/>
      <c r="D12" s="481"/>
      <c r="E12" s="25"/>
      <c r="F12" s="472"/>
      <c r="G12" s="473"/>
      <c r="H12" s="474"/>
      <c r="J12" s="26" t="s">
        <v>127</v>
      </c>
      <c r="K12" s="482">
        <v>4500363849</v>
      </c>
      <c r="L12" s="483"/>
    </row>
    <row r="13" spans="2:12" ht="20.149999999999999" customHeight="1" x14ac:dyDescent="0.45">
      <c r="B13" s="480" t="s">
        <v>525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609</v>
      </c>
      <c r="L13" s="483"/>
    </row>
    <row r="14" spans="2:12" ht="20.149999999999999" customHeight="1" x14ac:dyDescent="0.45">
      <c r="B14" s="480" t="s">
        <v>526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18" t="s">
        <v>527</v>
      </c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197" t="s">
        <v>3</v>
      </c>
      <c r="D17" s="542" t="s">
        <v>4</v>
      </c>
      <c r="E17" s="531"/>
      <c r="F17" s="543"/>
      <c r="G17" s="15" t="s">
        <v>384</v>
      </c>
      <c r="H17" s="7" t="s">
        <v>53</v>
      </c>
      <c r="I17" s="460" t="s">
        <v>266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58">
        <v>520704</v>
      </c>
      <c r="C18" s="212" t="str">
        <f>VLOOKUP(B18,'Sales Master'!A$3:B$537,2,0)</f>
        <v>M1014</v>
      </c>
      <c r="D18" s="493" t="str">
        <f>VLOOKUP(C18,'Sales Master'!B$3:D$537,2,)</f>
        <v>Chendol 浆咯</v>
      </c>
      <c r="E18" s="493"/>
      <c r="F18" s="493"/>
      <c r="G18" s="76">
        <v>1</v>
      </c>
      <c r="H18" s="209" t="str">
        <f>VLOOKUP(C18,'Sales Master'!$B$3:$E$537,4,0)</f>
        <v>DO!</v>
      </c>
      <c r="I18" s="553" t="str">
        <f>VLOOKUP(C18,'Sales Master'!$B$3:F$537,5,0)</f>
        <v>NW(2.2:0.8) 3kg/ Pkt包</v>
      </c>
      <c r="J18" s="553"/>
      <c r="K18" s="83">
        <f>VLOOKUP(C18,'Sales Master'!B$3:I$537,8,0)</f>
        <v>7.5</v>
      </c>
      <c r="L18" s="127">
        <f t="shared" ref="L18" si="0">K18*G18</f>
        <v>7.5</v>
      </c>
      <c r="M18" s="65"/>
      <c r="N18" s="145">
        <f>VLOOKUP(C18,'Sales Master'!$B$3:$DA$2279,104,0)</f>
        <v>2.44</v>
      </c>
      <c r="O18" s="145">
        <f t="shared" ref="O18" si="1">K18-N18</f>
        <v>5.0600000000000005</v>
      </c>
      <c r="P18" s="145">
        <f t="shared" ref="P18" si="2">O18*G18</f>
        <v>5.0600000000000005</v>
      </c>
    </row>
    <row r="19" spans="2:16" ht="20.149999999999999" customHeight="1" x14ac:dyDescent="0.45">
      <c r="B19" s="58">
        <v>520737</v>
      </c>
      <c r="C19" s="212" t="str">
        <f>VLOOKUP(B19,'Sales Master'!A$3:B$537,2,0)</f>
        <v>M1004</v>
      </c>
      <c r="D19" s="493" t="str">
        <f>VLOOKUP(C19,'Sales Master'!B$3:D$537,2,)</f>
        <v>Mango Puree 芒果酱</v>
      </c>
      <c r="E19" s="493"/>
      <c r="F19" s="493"/>
      <c r="G19" s="76">
        <v>2</v>
      </c>
      <c r="H19" s="209" t="str">
        <f>VLOOKUP(C19,'Sales Master'!$B$3:$E$537,4,0)</f>
        <v>DO!</v>
      </c>
      <c r="I19" s="553" t="str">
        <f>VLOOKUP(C19,'Sales Master'!$B$3:F$537,5,0)</f>
        <v>1 KG/ Box盒</v>
      </c>
      <c r="J19" s="553"/>
      <c r="K19" s="83">
        <f>VLOOKUP(C19,'Sales Master'!B$3:I$537,8,0)</f>
        <v>7</v>
      </c>
      <c r="L19" s="127">
        <f t="shared" ref="L19" si="3">K19*G19</f>
        <v>14</v>
      </c>
      <c r="M19" s="65"/>
      <c r="N19" s="145">
        <f>VLOOKUP(C19,'Sales Master'!$B$3:$DA$2279,104,0)</f>
        <v>2.15</v>
      </c>
      <c r="O19" s="145">
        <f t="shared" ref="O19" si="4">K19-N19</f>
        <v>4.8499999999999996</v>
      </c>
      <c r="P19" s="145">
        <f t="shared" ref="P19" si="5">O19*G19</f>
        <v>9.6999999999999993</v>
      </c>
    </row>
    <row r="20" spans="2:16" ht="20" customHeight="1" x14ac:dyDescent="0.45">
      <c r="B20" s="58">
        <v>520695</v>
      </c>
      <c r="C20" s="212" t="str">
        <f>VLOOKUP(B20,'Sales Master'!A$3:B$537,2,0)</f>
        <v>P3001B</v>
      </c>
      <c r="D20" s="493" t="str">
        <f>VLOOKUP(C20,'Sales Master'!B$3:D$537,2,)</f>
        <v>Atap Seeds in Syrup 亚嗒子</v>
      </c>
      <c r="E20" s="493"/>
      <c r="F20" s="493"/>
      <c r="G20" s="76">
        <v>1</v>
      </c>
      <c r="H20" s="209" t="str">
        <f>VLOOKUP(C20,'Sales Master'!$B$3:$E$537,4,0)</f>
        <v>DO!</v>
      </c>
      <c r="I20" s="553" t="str">
        <f>VLOOKUP(C20,'Sales Master'!$B$3:F$537,5,0)</f>
        <v>NW(1.6:0.6) 2.2kg/ Bag包</v>
      </c>
      <c r="J20" s="553"/>
      <c r="K20" s="83">
        <f>VLOOKUP(C20,'Sales Master'!B$3:I$537,8,0)</f>
        <v>10</v>
      </c>
      <c r="L20" s="127">
        <f t="shared" ref="L20" si="6">K20*G20</f>
        <v>10</v>
      </c>
      <c r="M20" s="65"/>
      <c r="N20" s="145">
        <f>VLOOKUP(C20,'Sales Master'!$B$3:$DA$2279,104,0)</f>
        <v>7.3</v>
      </c>
      <c r="O20" s="145">
        <f t="shared" ref="O20" si="7">K20-N20</f>
        <v>2.7</v>
      </c>
      <c r="P20" s="145">
        <f t="shared" ref="P20" si="8">O20*G20</f>
        <v>2.7</v>
      </c>
    </row>
    <row r="21" spans="2:16" ht="20" customHeight="1" x14ac:dyDescent="0.45">
      <c r="B21" s="58">
        <v>520724</v>
      </c>
      <c r="C21" s="212" t="str">
        <f>VLOOKUP(B21,'Sales Master'!A$3:B$537,2,0)</f>
        <v>P3009A</v>
      </c>
      <c r="D21" s="493" t="str">
        <f>VLOOKUP(C21,'Sales Master'!B$3:D$537,2,)</f>
        <v>Green Bean 绿豆</v>
      </c>
      <c r="E21" s="493"/>
      <c r="F21" s="493"/>
      <c r="G21" s="76">
        <v>2</v>
      </c>
      <c r="H21" s="209" t="str">
        <f>VLOOKUP(C21,'Sales Master'!$B$3:$E$537,4,0)</f>
        <v>-</v>
      </c>
      <c r="I21" s="553" t="str">
        <f>VLOOKUP(C21,'Sales Master'!$B$3:F$537,5,0)</f>
        <v>5 KG</v>
      </c>
      <c r="J21" s="553"/>
      <c r="K21" s="83">
        <f>VLOOKUP(C21,'Sales Master'!B$3:I$537,8,0)</f>
        <v>13</v>
      </c>
      <c r="L21" s="127">
        <f>K21*G21</f>
        <v>26</v>
      </c>
      <c r="M21" s="65"/>
      <c r="N21" s="145">
        <f>VLOOKUP(C21,'Sales Master'!$B$3:$DA$2279,104,0)</f>
        <v>8.75</v>
      </c>
      <c r="O21" s="145">
        <f>K21-N21</f>
        <v>4.25</v>
      </c>
      <c r="P21" s="145">
        <f>O21*G21</f>
        <v>8.5</v>
      </c>
    </row>
    <row r="22" spans="2:16" ht="20.149999999999999" customHeight="1" x14ac:dyDescent="0.45">
      <c r="B22" s="58">
        <v>520698</v>
      </c>
      <c r="C22" s="212" t="str">
        <f>VLOOKUP(B22,'Sales Master'!A$3:B$537,2,0)</f>
        <v>P3013A</v>
      </c>
      <c r="D22" s="493" t="str">
        <f>VLOOKUP(C22,'Sales Master'!B$3:D$537,2,)</f>
        <v>Black Glutinous Rice 黑糯米</v>
      </c>
      <c r="E22" s="493"/>
      <c r="F22" s="493"/>
      <c r="G22" s="76">
        <v>1</v>
      </c>
      <c r="H22" s="209" t="str">
        <f>VLOOKUP(C22,'Sales Master'!$B$3:$E$537,4,0)</f>
        <v>-</v>
      </c>
      <c r="I22" s="553" t="str">
        <f>VLOOKUP(C22,'Sales Master'!$B$3:F$537,5,0)</f>
        <v>5 KGS</v>
      </c>
      <c r="J22" s="553"/>
      <c r="K22" s="83">
        <f>VLOOKUP(C22,'Sales Master'!B$3:I$537,8,0)</f>
        <v>18</v>
      </c>
      <c r="L22" s="127">
        <f t="shared" ref="L22" si="9">K22*G22</f>
        <v>18</v>
      </c>
      <c r="M22" s="65"/>
      <c r="N22" s="145">
        <f>VLOOKUP(C22,'Sales Master'!$B$3:$DA$2279,104,0)</f>
        <v>12</v>
      </c>
      <c r="O22" s="145">
        <f t="shared" ref="O22" si="10">K22-N22</f>
        <v>6</v>
      </c>
      <c r="P22" s="145">
        <f t="shared" ref="P22" si="11">O22*G22</f>
        <v>6</v>
      </c>
    </row>
    <row r="23" spans="2:16" ht="20.149999999999999" customHeight="1" x14ac:dyDescent="0.45">
      <c r="B23" s="58">
        <v>520696</v>
      </c>
      <c r="C23" s="212" t="str">
        <f>VLOOKUP(B23,'Sales Master'!A$3:B$537,2,0)</f>
        <v>P3016A</v>
      </c>
      <c r="D23" s="493" t="str">
        <f>VLOOKUP(C23,'Sales Master'!B$3:D$537,2,)</f>
        <v>Pearl Barley 薏米</v>
      </c>
      <c r="E23" s="493"/>
      <c r="F23" s="493"/>
      <c r="G23" s="76">
        <v>1</v>
      </c>
      <c r="H23" s="209" t="str">
        <f>VLOOKUP(C23,'Sales Master'!$B$3:$E$537,4,0)</f>
        <v>-</v>
      </c>
      <c r="I23" s="553" t="str">
        <f>VLOOKUP(C23,'Sales Master'!$B$3:F$537,5,0)</f>
        <v>5 KG</v>
      </c>
      <c r="J23" s="553"/>
      <c r="K23" s="83">
        <f>VLOOKUP(C23,'Sales Master'!B$3:I$537,8,0)</f>
        <v>10</v>
      </c>
      <c r="L23" s="127">
        <f>K23*G23</f>
        <v>10</v>
      </c>
      <c r="M23" s="65"/>
      <c r="N23" s="145">
        <f>VLOOKUP(C23,'Sales Master'!$B$3:$DA$2279,104,0)</f>
        <v>7.6</v>
      </c>
      <c r="O23" s="145">
        <f>K23-N23</f>
        <v>2.4000000000000004</v>
      </c>
      <c r="P23" s="145">
        <f>O23*G23</f>
        <v>2.4000000000000004</v>
      </c>
    </row>
    <row r="24" spans="2:16" ht="20.149999999999999" customHeight="1" x14ac:dyDescent="0.45">
      <c r="B24" s="58">
        <v>520706</v>
      </c>
      <c r="C24" s="212" t="str">
        <f>VLOOKUP(B24,'Sales Master'!A$3:B$537,2,0)</f>
        <v>P5008</v>
      </c>
      <c r="D24" s="493" t="str">
        <f>VLOOKUP(C24,'Sales Master'!B$3:D$537,2,)</f>
        <v>Coconut Sugar 椰糖</v>
      </c>
      <c r="E24" s="493"/>
      <c r="F24" s="493"/>
      <c r="G24" s="76">
        <v>1</v>
      </c>
      <c r="H24" s="209" t="str">
        <f>VLOOKUP(C24,'Sales Master'!$B$3:$E$537,4,0)</f>
        <v>BL BRAND</v>
      </c>
      <c r="I24" s="553" t="str">
        <f>VLOOKUP(C24,'Sales Master'!$B$3:F$537,5,0)</f>
        <v>10 KG/ ctn</v>
      </c>
      <c r="J24" s="553"/>
      <c r="K24" s="83">
        <f>VLOOKUP(C24,'Sales Master'!B$3:I$537,8,0)</f>
        <v>35</v>
      </c>
      <c r="L24" s="127">
        <f>K24*G24</f>
        <v>35</v>
      </c>
      <c r="M24" s="65"/>
      <c r="N24" s="145">
        <f>VLOOKUP(C24,'Sales Master'!$B$3:$DA$2279,104,0)</f>
        <v>28</v>
      </c>
      <c r="O24" s="145">
        <f>K24-N24</f>
        <v>7</v>
      </c>
      <c r="P24" s="145">
        <f>O24*G24</f>
        <v>7</v>
      </c>
    </row>
    <row r="25" spans="2:16" ht="20" customHeight="1" x14ac:dyDescent="0.45">
      <c r="B25" s="58">
        <v>520731</v>
      </c>
      <c r="C25" s="212" t="str">
        <f>VLOOKUP(B25,'Sales Master'!A$3:B$537,2,0)</f>
        <v>P6007</v>
      </c>
      <c r="D25" s="493" t="str">
        <f>VLOOKUP(C25,'Sales Master'!B$3:D$537,2,)</f>
        <v>Pandan Leaf 班兰叶</v>
      </c>
      <c r="E25" s="493"/>
      <c r="F25" s="493"/>
      <c r="G25" s="76">
        <v>1</v>
      </c>
      <c r="H25" s="209" t="str">
        <f>VLOOKUP(C25,'Sales Master'!$B$3:$E$537,4,0)</f>
        <v>-</v>
      </c>
      <c r="I25" s="553" t="str">
        <f>VLOOKUP(C25,'Sales Master'!$B$3:F$537,5,0)</f>
        <v>1 KG</v>
      </c>
      <c r="J25" s="553"/>
      <c r="K25" s="83">
        <f>VLOOKUP(C25,'Sales Master'!B$3:I$537,8,0)</f>
        <v>1.8</v>
      </c>
      <c r="L25" s="127">
        <f>K25*G25</f>
        <v>1.8</v>
      </c>
      <c r="M25" s="65"/>
      <c r="N25" s="145">
        <f>VLOOKUP(C25,'Sales Master'!$B$3:$DA$2279,104,0)</f>
        <v>1.1000000000000001</v>
      </c>
      <c r="O25" s="145">
        <f>K25-N25</f>
        <v>0.7</v>
      </c>
      <c r="P25" s="145">
        <f>O25*G25</f>
        <v>0.7</v>
      </c>
    </row>
    <row r="26" spans="2:16" ht="20" customHeight="1" x14ac:dyDescent="0.45">
      <c r="B26" s="58">
        <v>520738</v>
      </c>
      <c r="C26" s="212" t="str">
        <f>VLOOKUP(B26,'Sales Master'!A$3:B$537,2,0)</f>
        <v>P3005A</v>
      </c>
      <c r="D26" s="493" t="str">
        <f>VLOOKUP(C26,'Sales Master'!B$3:D$537,2,)</f>
        <v>Red Bean 红豆 (5.5 mm)</v>
      </c>
      <c r="E26" s="493"/>
      <c r="F26" s="493"/>
      <c r="G26" s="76">
        <v>1</v>
      </c>
      <c r="H26" s="209" t="str">
        <f>VLOOKUP(C26,'Sales Master'!$B$3:$E$537,4,0)</f>
        <v>-</v>
      </c>
      <c r="I26" s="553" t="str">
        <f>VLOOKUP(C26,'Sales Master'!$B$3:F$537,5,0)</f>
        <v>5 KG</v>
      </c>
      <c r="J26" s="553"/>
      <c r="K26" s="83">
        <f>VLOOKUP(C26,'Sales Master'!B$3:I$537,8,0)</f>
        <v>17.5</v>
      </c>
      <c r="L26" s="127">
        <f t="shared" ref="L26" si="12">K26*G26</f>
        <v>17.5</v>
      </c>
      <c r="M26" s="65"/>
      <c r="N26" s="145">
        <f>VLOOKUP(C26,'Sales Master'!$B$3:$DA$2279,104,0)</f>
        <v>12.5</v>
      </c>
      <c r="O26" s="145">
        <f t="shared" ref="O26" si="13">K26-N26</f>
        <v>5</v>
      </c>
      <c r="P26" s="145">
        <f t="shared" ref="P26" si="14">O26*G26</f>
        <v>5</v>
      </c>
    </row>
    <row r="27" spans="2:16" ht="20.149999999999999" customHeight="1" x14ac:dyDescent="0.45">
      <c r="B27" s="243"/>
      <c r="C27" s="212"/>
      <c r="D27" s="493"/>
      <c r="E27" s="493"/>
      <c r="F27" s="493"/>
      <c r="G27" s="76"/>
      <c r="H27" s="209"/>
      <c r="I27" s="553"/>
      <c r="J27" s="553"/>
      <c r="K27" s="83"/>
      <c r="L27" s="127"/>
      <c r="M27" s="65"/>
      <c r="N27" s="145"/>
      <c r="O27" s="145"/>
      <c r="P27" s="145"/>
    </row>
    <row r="28" spans="2:16" ht="20.5" customHeight="1" x14ac:dyDescent="0.45">
      <c r="B28" s="243"/>
      <c r="C28" s="212"/>
      <c r="D28" s="493"/>
      <c r="E28" s="493"/>
      <c r="F28" s="493"/>
      <c r="G28" s="76"/>
      <c r="H28" s="209"/>
      <c r="I28" s="553"/>
      <c r="J28" s="553"/>
      <c r="K28" s="83"/>
      <c r="L28" s="127"/>
      <c r="M28" s="65"/>
      <c r="N28" s="145"/>
      <c r="O28" s="145"/>
      <c r="P28" s="145"/>
    </row>
    <row r="29" spans="2:16" ht="20.149999999999999" customHeight="1" x14ac:dyDescent="0.45">
      <c r="B29" s="243"/>
      <c r="C29" s="212"/>
      <c r="D29" s="493"/>
      <c r="E29" s="493"/>
      <c r="F29" s="493"/>
      <c r="G29" s="76"/>
      <c r="H29" s="209"/>
      <c r="I29" s="553"/>
      <c r="J29" s="553"/>
      <c r="K29" s="83"/>
      <c r="L29" s="127"/>
      <c r="M29" s="65"/>
      <c r="N29" s="145"/>
      <c r="O29" s="145"/>
      <c r="P29" s="145"/>
    </row>
    <row r="30" spans="2:16" ht="20.5" customHeight="1" x14ac:dyDescent="0.45">
      <c r="B30" s="243"/>
      <c r="C30" s="212"/>
      <c r="D30" s="493"/>
      <c r="E30" s="493"/>
      <c r="F30" s="493"/>
      <c r="G30" s="76"/>
      <c r="H30" s="209"/>
      <c r="I30" s="553"/>
      <c r="J30" s="553"/>
      <c r="K30" s="83"/>
      <c r="L30" s="127"/>
      <c r="M30" s="65"/>
      <c r="N30" s="145"/>
      <c r="O30" s="145"/>
      <c r="P30" s="145"/>
    </row>
    <row r="31" spans="2:16" ht="20.149999999999999" customHeight="1" x14ac:dyDescent="0.45">
      <c r="B31" s="58"/>
      <c r="C31" s="212"/>
      <c r="D31" s="147"/>
      <c r="E31" s="147"/>
      <c r="F31" s="147"/>
      <c r="G31" s="76"/>
      <c r="H31" s="209"/>
      <c r="I31" s="196"/>
      <c r="J31" s="196"/>
      <c r="K31" s="83"/>
      <c r="L31" s="127"/>
      <c r="M31" s="65"/>
      <c r="N31" s="145"/>
      <c r="O31" s="145"/>
      <c r="P31" s="145"/>
    </row>
    <row r="32" spans="2:16" ht="20.149999999999999" customHeight="1" x14ac:dyDescent="0.45">
      <c r="B32" s="58"/>
      <c r="C32" s="17"/>
      <c r="D32" s="147"/>
      <c r="E32" s="147"/>
      <c r="F32" s="147"/>
      <c r="G32" s="76"/>
      <c r="H32" s="82"/>
      <c r="I32" s="76"/>
      <c r="J32" s="76"/>
      <c r="K32" s="83"/>
      <c r="L32" s="127"/>
    </row>
    <row r="33" spans="2:14" ht="20.149999999999999" customHeight="1" thickBot="1" x14ac:dyDescent="0.5">
      <c r="B33" s="47"/>
      <c r="C33" s="48"/>
      <c r="D33" s="48"/>
      <c r="E33" s="48"/>
      <c r="F33" s="48"/>
      <c r="G33" s="48"/>
      <c r="H33" s="48"/>
      <c r="I33" s="48"/>
      <c r="J33" s="48"/>
      <c r="K33" s="48"/>
      <c r="L33" s="49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89" t="s">
        <v>13</v>
      </c>
      <c r="K34" s="490"/>
      <c r="L34" s="38">
        <f>SUM(L18:L33)</f>
        <v>139.80000000000001</v>
      </c>
      <c r="M34" s="63">
        <f>SUM(P18:P28)</f>
        <v>47.06</v>
      </c>
      <c r="N34" s="133">
        <f>M34/L34</f>
        <v>0.33662374821173102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91" t="s">
        <v>19</v>
      </c>
      <c r="K36" s="492"/>
      <c r="L36" s="41">
        <f>L34-L35</f>
        <v>139.80000000000001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12.582000000000001</v>
      </c>
    </row>
    <row r="38" spans="2:14" ht="20.149999999999999" customHeight="1" thickBot="1" x14ac:dyDescent="0.5">
      <c r="B38" s="10" t="s">
        <v>676</v>
      </c>
      <c r="C38" s="6"/>
      <c r="D38" s="6"/>
      <c r="E38" s="6"/>
      <c r="F38" s="6"/>
      <c r="G38" s="6"/>
      <c r="H38" s="6"/>
      <c r="I38" s="6"/>
      <c r="J38" s="485" t="s">
        <v>21</v>
      </c>
      <c r="K38" s="486"/>
      <c r="L38" s="43">
        <f>L36+L37</f>
        <v>152.38200000000001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144" t="s">
        <v>666</v>
      </c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44">
    <mergeCell ref="D17:F17"/>
    <mergeCell ref="D23:F23"/>
    <mergeCell ref="D21:F21"/>
    <mergeCell ref="D24:F24"/>
    <mergeCell ref="I23:J23"/>
    <mergeCell ref="D18:F18"/>
    <mergeCell ref="I17:J17"/>
    <mergeCell ref="I18:J18"/>
    <mergeCell ref="I20:J20"/>
    <mergeCell ref="I19:J19"/>
    <mergeCell ref="I21:J21"/>
    <mergeCell ref="D19:F19"/>
    <mergeCell ref="J38:K38"/>
    <mergeCell ref="J34:K34"/>
    <mergeCell ref="I22:J22"/>
    <mergeCell ref="J36:K36"/>
    <mergeCell ref="I29:J29"/>
    <mergeCell ref="I28:J28"/>
    <mergeCell ref="I26:J26"/>
    <mergeCell ref="I30:J30"/>
    <mergeCell ref="I27:J27"/>
    <mergeCell ref="I24:J24"/>
    <mergeCell ref="I25:J2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8:F28"/>
    <mergeCell ref="D30:F30"/>
    <mergeCell ref="D25:F25"/>
    <mergeCell ref="D29:F29"/>
    <mergeCell ref="D20:F20"/>
    <mergeCell ref="D27:F27"/>
    <mergeCell ref="D22:F22"/>
    <mergeCell ref="D26:F26"/>
  </mergeCells>
  <hyperlinks>
    <hyperlink ref="B15" r:id="rId1" xr:uid="{87F2FF0E-85B0-4AEE-814D-23B3A8BBB568}"/>
  </hyperlinks>
  <pageMargins left="0.51181102362204722" right="0.39370078740157483" top="0" bottom="0" header="0.31496062992125984" footer="0.31496062992125984"/>
  <pageSetup paperSize="9" scale="75" orientation="portrait" r:id="rId2"/>
  <drawing r:id="rId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04521-92B4-46DE-B3FA-BA341E5AC39E}">
  <sheetPr codeName="Sheet97">
    <tabColor rgb="FF7030A0"/>
    <pageSetUpPr fitToPage="1"/>
  </sheetPr>
  <dimension ref="B1:P44"/>
  <sheetViews>
    <sheetView topLeftCell="D25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598</v>
      </c>
      <c r="J10" s="24" t="s">
        <v>27</v>
      </c>
      <c r="K10" s="464">
        <v>202411564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Koufu - Tim Sum                                    258 Pasir Ris Street 21,  Loyang Point, #02-313,  Singapore 510258</v>
      </c>
      <c r="G11" s="470"/>
      <c r="H11" s="471"/>
      <c r="J11" s="26" t="s">
        <v>9</v>
      </c>
      <c r="K11" s="478">
        <v>45623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2193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966</v>
      </c>
      <c r="D18" s="487" t="str">
        <f>VLOOKUP(C18,'Sales Master'!B$3:D$537,2,)</f>
        <v>Coconut Milk 椰浆</v>
      </c>
      <c r="E18" s="487"/>
      <c r="F18" s="487"/>
      <c r="G18" s="17">
        <v>6</v>
      </c>
      <c r="H18" s="85" t="str">
        <f>VLOOKUP(C18,'Sales Master'!$B$3:$F$2488,5,0)</f>
        <v>(1L x 12bag)/箱</v>
      </c>
      <c r="I18" s="484" t="str">
        <f>VLOOKUP(C18,'Sales Master'!$B$3:$E$2488,4,0)</f>
        <v>Kara UHT</v>
      </c>
      <c r="J18" s="484"/>
      <c r="K18" s="30">
        <f>VLOOKUP(C18,'Sales Master'!$B$3:$J$537,9,0)</f>
        <v>54</v>
      </c>
      <c r="L18" s="31">
        <f>K18*G18</f>
        <v>324</v>
      </c>
      <c r="N18" s="145">
        <f>VLOOKUP(C18,'Sales Master'!$B$3:$DA$2279,104,0)</f>
        <v>35.799999999999997</v>
      </c>
      <c r="O18" s="145">
        <f>K18-N18</f>
        <v>18.200000000000003</v>
      </c>
      <c r="P18" s="145">
        <f>O18*G18</f>
        <v>109.20000000000002</v>
      </c>
    </row>
    <row r="19" spans="2:16" ht="20.149999999999999" customHeight="1" x14ac:dyDescent="0.45">
      <c r="B19" s="29"/>
      <c r="C19" s="212"/>
      <c r="D19" s="487"/>
      <c r="E19" s="487"/>
      <c r="F19" s="487"/>
      <c r="G19" s="17"/>
      <c r="H19" s="85"/>
      <c r="I19" s="484"/>
      <c r="J19" s="484"/>
      <c r="K19" s="30"/>
      <c r="L19" s="31"/>
      <c r="N19" s="145"/>
      <c r="O19" s="145"/>
      <c r="P19" s="145"/>
    </row>
    <row r="20" spans="2:16" ht="20.149999999999999" customHeight="1" x14ac:dyDescent="0.45">
      <c r="B20" s="29"/>
      <c r="C20" s="212"/>
      <c r="G20" s="17"/>
      <c r="H20" s="85"/>
      <c r="I20" s="208"/>
      <c r="J20" s="208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2"/>
      <c r="G21" s="17"/>
      <c r="H21" s="85"/>
      <c r="I21" s="208"/>
      <c r="J21" s="208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2"/>
      <c r="G22" s="17"/>
      <c r="H22" s="85"/>
      <c r="I22" s="208"/>
      <c r="J22" s="208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2"/>
      <c r="D23" s="487"/>
      <c r="E23" s="487"/>
      <c r="F23" s="487"/>
      <c r="G23" s="17"/>
      <c r="H23" s="56"/>
      <c r="I23" s="494"/>
      <c r="J23" s="494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212"/>
      <c r="D24" s="487"/>
      <c r="E24" s="487"/>
      <c r="F24" s="487"/>
      <c r="G24" s="17"/>
      <c r="H24" s="56"/>
      <c r="I24" s="494"/>
      <c r="J24" s="494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212"/>
      <c r="D25" s="487"/>
      <c r="E25" s="487"/>
      <c r="F25" s="487"/>
      <c r="G25" s="17"/>
      <c r="H25" s="56"/>
      <c r="I25" s="494"/>
      <c r="J25" s="494"/>
      <c r="K25" s="30"/>
      <c r="L25" s="31"/>
      <c r="N25" s="145"/>
      <c r="O25" s="145"/>
      <c r="P25" s="145"/>
    </row>
    <row r="26" spans="2:16" ht="20.149999999999999" customHeight="1" x14ac:dyDescent="0.45">
      <c r="B26" s="29"/>
      <c r="C26" s="212"/>
      <c r="D26" s="487"/>
      <c r="E26" s="487"/>
      <c r="F26" s="487"/>
      <c r="G26" s="17"/>
      <c r="H26" s="56"/>
      <c r="I26" s="494"/>
      <c r="J26" s="494"/>
      <c r="K26" s="30"/>
      <c r="L26" s="31"/>
      <c r="N26" s="145"/>
      <c r="O26" s="145"/>
      <c r="P26" s="145"/>
    </row>
    <row r="27" spans="2:16" ht="20.149999999999999" customHeight="1" x14ac:dyDescent="0.45">
      <c r="B27" s="29"/>
      <c r="C27" s="17"/>
      <c r="G27" s="17"/>
      <c r="H27" s="56"/>
      <c r="I27" s="17"/>
      <c r="J27" s="17"/>
      <c r="K27" s="30"/>
      <c r="L27" s="31"/>
    </row>
    <row r="28" spans="2:16" ht="20.149999999999999" customHeight="1" x14ac:dyDescent="0.45">
      <c r="B28" s="29"/>
      <c r="C28" s="17"/>
      <c r="D28" s="487"/>
      <c r="E28" s="487"/>
      <c r="F28" s="487"/>
      <c r="G28" s="17"/>
      <c r="H28" s="56"/>
      <c r="I28" s="56"/>
      <c r="J28" s="17"/>
      <c r="K28" s="30"/>
      <c r="L28" s="31"/>
    </row>
    <row r="29" spans="2:16" ht="20.149999999999999" customHeight="1" x14ac:dyDescent="0.45">
      <c r="B29" s="29"/>
      <c r="C29" s="17"/>
      <c r="D29" s="487"/>
      <c r="E29" s="487"/>
      <c r="F29" s="487"/>
      <c r="G29" s="17"/>
      <c r="H29" s="17"/>
      <c r="I29" s="17"/>
      <c r="J29" s="17"/>
      <c r="K29" s="30"/>
      <c r="L29" s="31"/>
    </row>
    <row r="30" spans="2:16" ht="20.149999999999999" customHeight="1" thickBot="1" x14ac:dyDescent="0.5">
      <c r="B30" s="32"/>
      <c r="C30" s="33"/>
      <c r="D30" s="488"/>
      <c r="E30" s="488"/>
      <c r="F30" s="488"/>
      <c r="G30" s="33"/>
      <c r="H30" s="33"/>
      <c r="I30" s="33"/>
      <c r="J30" s="33"/>
      <c r="K30" s="34"/>
      <c r="L30" s="35"/>
    </row>
    <row r="31" spans="2:16" ht="20.149999999999999" customHeight="1" thickBot="1" x14ac:dyDescent="0.5">
      <c r="B31" s="36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89" t="s">
        <v>13</v>
      </c>
      <c r="K32" s="490"/>
      <c r="L32" s="38">
        <f>SUM(L17:L30)</f>
        <v>324</v>
      </c>
      <c r="M32" s="63">
        <f>SUM(P18:P24)-L32*0.02</f>
        <v>102.72000000000001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91" t="s">
        <v>19</v>
      </c>
      <c r="K34" s="492"/>
      <c r="L34" s="41">
        <f>L32-L33</f>
        <v>324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29.16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85" t="s">
        <v>21</v>
      </c>
      <c r="K36" s="486"/>
      <c r="L36" s="43">
        <f>L34+L35</f>
        <v>353.16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4:F24"/>
    <mergeCell ref="I24:J24"/>
    <mergeCell ref="I17:J17"/>
    <mergeCell ref="D19:F19"/>
    <mergeCell ref="I19:J19"/>
    <mergeCell ref="D23:F23"/>
    <mergeCell ref="I23:J23"/>
    <mergeCell ref="D18:F18"/>
    <mergeCell ref="I18:J18"/>
    <mergeCell ref="D17:F17"/>
    <mergeCell ref="D25:F25"/>
    <mergeCell ref="I25:J25"/>
    <mergeCell ref="J34:K34"/>
    <mergeCell ref="J36:K36"/>
    <mergeCell ref="D26:F26"/>
    <mergeCell ref="I26:J26"/>
    <mergeCell ref="D28:F28"/>
    <mergeCell ref="D29:F29"/>
    <mergeCell ref="D30:F30"/>
    <mergeCell ref="J32:K32"/>
  </mergeCells>
  <pageMargins left="0.51181102362204722" right="0.39370078740157483" top="0" bottom="0" header="0.31496062992125984" footer="0.31496062992125984"/>
  <pageSetup paperSize="9" scale="78" orientation="portrait" horizontalDpi="300" verticalDpi="300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85826-FC04-48E5-80ED-57D61EDE2F79}">
  <sheetPr codeName="Sheet167">
    <tabColor rgb="FFFFC000"/>
    <pageSetUpPr fitToPage="1"/>
  </sheetPr>
  <dimension ref="B1:R49"/>
  <sheetViews>
    <sheetView topLeftCell="D9" zoomScaleNormal="100" workbookViewId="0">
      <selection activeCell="N17" sqref="N17:P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8.269531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621</v>
      </c>
      <c r="J10" s="24" t="s">
        <v>27</v>
      </c>
      <c r="K10" s="464">
        <v>202306530</v>
      </c>
      <c r="L10" s="465"/>
    </row>
    <row r="11" spans="2:14" ht="20.149999999999999" customHeight="1" x14ac:dyDescent="0.45">
      <c r="B11" s="466"/>
      <c r="C11" s="467"/>
      <c r="D11" s="468"/>
      <c r="E11" s="25"/>
      <c r="F11" s="469" t="str">
        <f>VLOOKUP(H10,'Delivery Location'!A$4:N$466,2,0)</f>
        <v>8202 3599                                                                             3 Yung Sheng Road, #03-170            Singapore 618499</v>
      </c>
      <c r="G11" s="470"/>
      <c r="H11" s="471"/>
      <c r="J11" s="26" t="s">
        <v>9</v>
      </c>
      <c r="K11" s="478">
        <v>45101</v>
      </c>
      <c r="L11" s="479"/>
    </row>
    <row r="12" spans="2:14" ht="20.149999999999999" customHeight="1" x14ac:dyDescent="0.45">
      <c r="B12" s="480"/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4" ht="20.149999999999999" customHeight="1" x14ac:dyDescent="0.45">
      <c r="B13" s="480"/>
      <c r="C13" s="453"/>
      <c r="D13" s="481"/>
      <c r="E13" s="25"/>
      <c r="F13" s="472"/>
      <c r="G13" s="473"/>
      <c r="H13" s="474"/>
      <c r="J13" s="26" t="s">
        <v>10</v>
      </c>
      <c r="K13" s="482" t="s">
        <v>421</v>
      </c>
      <c r="L13" s="483"/>
    </row>
    <row r="14" spans="2:14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  <c r="N14" s="149" t="s">
        <v>1065</v>
      </c>
    </row>
    <row r="15" spans="2:14" ht="18" customHeight="1" thickBot="1" x14ac:dyDescent="0.5">
      <c r="B15" s="508"/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8" ht="20.149999999999999" customHeight="1" x14ac:dyDescent="0.45">
      <c r="B18" s="58"/>
      <c r="C18" s="212" t="s">
        <v>804</v>
      </c>
      <c r="D18" s="487" t="str">
        <f>VLOOKUP(C18,'Sales Master'!B$3:D$537,2,)</f>
        <v>Atap Seeds in Syrup 亚嗒子</v>
      </c>
      <c r="E18" s="487"/>
      <c r="F18" s="487"/>
      <c r="G18" s="76">
        <v>2</v>
      </c>
      <c r="H18" s="186" t="str">
        <f>VLOOKUP(C18,'Sales Master'!$B$3:$F$2420,5,0)</f>
        <v>NW(2.1:0.9) 3kg/ Bag包</v>
      </c>
      <c r="I18" s="484" t="str">
        <f>VLOOKUP(C18,'Sales Master'!$B$3:$E$2420,4,0)</f>
        <v>DO!</v>
      </c>
      <c r="J18" s="484"/>
      <c r="K18" s="83">
        <f>VLOOKUP(C18,'Sales Master'!$B$4:$BR$2440,69,0)</f>
        <v>12</v>
      </c>
      <c r="L18" s="84">
        <f>K18*G18</f>
        <v>24</v>
      </c>
      <c r="M18" s="65"/>
      <c r="N18" s="145">
        <f>VLOOKUP(C18,'Sales Master'!$B$3:$DA$2279,104,0)</f>
        <v>9.6</v>
      </c>
      <c r="O18" s="145">
        <f>K18-N18</f>
        <v>2.4000000000000004</v>
      </c>
      <c r="P18" s="145">
        <f>O18*G18</f>
        <v>4.8000000000000007</v>
      </c>
      <c r="R18" s="151">
        <v>1</v>
      </c>
    </row>
    <row r="19" spans="2:18" ht="20.149999999999999" customHeight="1" x14ac:dyDescent="0.45">
      <c r="B19" s="58"/>
      <c r="C19" s="212" t="s">
        <v>807</v>
      </c>
      <c r="D19" s="487" t="str">
        <f>VLOOKUP(C19,'Sales Master'!B$3:D$537,2,)</f>
        <v>Chin Chow  仙草</v>
      </c>
      <c r="E19" s="487"/>
      <c r="F19" s="487"/>
      <c r="G19" s="76">
        <v>5</v>
      </c>
      <c r="H19" s="186" t="str">
        <f>VLOOKUP(C19,'Sales Master'!$B$3:$F$2420,5,0)</f>
        <v>4 KG/ Pkt包</v>
      </c>
      <c r="I19" s="484" t="str">
        <f>VLOOKUP(C19,'Sales Master'!$B$3:$E$2420,4,0)</f>
        <v>TSM</v>
      </c>
      <c r="J19" s="484"/>
      <c r="K19" s="83">
        <f>VLOOKUP(C19,'Sales Master'!$B$4:$BR$2440,69,0)</f>
        <v>6.5</v>
      </c>
      <c r="L19" s="84">
        <f>K19*G19</f>
        <v>32.5</v>
      </c>
      <c r="M19" s="65"/>
      <c r="N19" s="145">
        <f>VLOOKUP(C19,'Sales Master'!$B$3:$DA$2279,104,0)</f>
        <v>4</v>
      </c>
      <c r="O19" s="145">
        <f>K19-N19</f>
        <v>2.5</v>
      </c>
      <c r="P19" s="145">
        <f>O19*G19</f>
        <v>12.5</v>
      </c>
      <c r="R19" s="151">
        <v>1</v>
      </c>
    </row>
    <row r="20" spans="2:18" ht="20.149999999999999" customHeight="1" x14ac:dyDescent="0.45">
      <c r="B20" s="58"/>
      <c r="C20" s="212" t="s">
        <v>809</v>
      </c>
      <c r="D20" s="487" t="str">
        <f>VLOOKUP(C20,'Sales Master'!B$3:D$537,2,)</f>
        <v>GingKo Nut (Peel off) 白果仁</v>
      </c>
      <c r="E20" s="487"/>
      <c r="F20" s="487"/>
      <c r="G20" s="76">
        <v>1</v>
      </c>
      <c r="H20" s="186" t="str">
        <f>VLOOKUP(C20,'Sales Master'!$B$3:$F$2420,5,0)</f>
        <v>500GM X 24/ Ctn箱</v>
      </c>
      <c r="I20" s="484" t="str">
        <f>VLOOKUP(C20,'Sales Master'!$B$3:$E$2420,4,0)</f>
        <v>-</v>
      </c>
      <c r="J20" s="484"/>
      <c r="K20" s="83">
        <f>VLOOKUP(C20,'Sales Master'!$B$4:$BR$2440,69,0)</f>
        <v>50</v>
      </c>
      <c r="L20" s="84">
        <f>K20*G20</f>
        <v>50</v>
      </c>
      <c r="M20" s="65"/>
      <c r="N20" s="145">
        <f>VLOOKUP(C20,'Sales Master'!$B$3:$DA$2279,104,0)</f>
        <v>36</v>
      </c>
      <c r="O20" s="145">
        <f>K20-N20</f>
        <v>14</v>
      </c>
      <c r="P20" s="145">
        <f>O20*G20</f>
        <v>14</v>
      </c>
      <c r="R20" s="151">
        <v>1</v>
      </c>
    </row>
    <row r="21" spans="2:18" ht="20.149999999999999" customHeight="1" x14ac:dyDescent="0.45">
      <c r="B21" s="58"/>
      <c r="C21" s="212"/>
      <c r="D21" s="487"/>
      <c r="E21" s="487"/>
      <c r="F21" s="487"/>
      <c r="G21" s="76"/>
      <c r="H21" s="186"/>
      <c r="I21" s="484"/>
      <c r="J21" s="484"/>
      <c r="K21" s="83"/>
      <c r="L21" s="84"/>
      <c r="M21" s="65"/>
      <c r="N21" s="145"/>
      <c r="O21" s="145"/>
      <c r="P21" s="145"/>
      <c r="R21" s="151"/>
    </row>
    <row r="22" spans="2:18" ht="20.149999999999999" customHeight="1" x14ac:dyDescent="0.45">
      <c r="B22" s="58"/>
      <c r="C22" s="212"/>
      <c r="D22" s="487"/>
      <c r="E22" s="487"/>
      <c r="F22" s="487"/>
      <c r="G22" s="76"/>
      <c r="H22" s="186"/>
      <c r="I22" s="484"/>
      <c r="J22" s="484"/>
      <c r="K22" s="83"/>
      <c r="L22" s="84"/>
      <c r="M22" s="65"/>
      <c r="N22" s="145"/>
      <c r="O22" s="145"/>
      <c r="P22" s="145"/>
      <c r="R22" s="151"/>
    </row>
    <row r="23" spans="2:18" ht="20.149999999999999" customHeight="1" x14ac:dyDescent="0.45">
      <c r="B23" s="58"/>
      <c r="G23" s="76"/>
      <c r="H23" s="186"/>
      <c r="I23" s="208"/>
      <c r="J23" s="208"/>
      <c r="K23" s="83"/>
      <c r="L23" s="84"/>
      <c r="M23" s="65"/>
      <c r="N23" s="145"/>
      <c r="O23" s="145"/>
      <c r="P23" s="145"/>
      <c r="R23" s="151"/>
    </row>
    <row r="24" spans="2:18" ht="20.149999999999999" customHeight="1" x14ac:dyDescent="0.45">
      <c r="B24" s="58"/>
      <c r="C24" s="17"/>
      <c r="D24" s="487"/>
      <c r="E24" s="487"/>
      <c r="F24" s="487"/>
      <c r="G24" s="76"/>
      <c r="H24" s="186"/>
      <c r="I24" s="484"/>
      <c r="J24" s="484"/>
      <c r="K24" s="83"/>
      <c r="L24" s="84"/>
      <c r="M24" s="65"/>
      <c r="N24" s="145"/>
      <c r="O24" s="145"/>
      <c r="P24" s="145"/>
    </row>
    <row r="25" spans="2:18" ht="20.149999999999999" customHeight="1" x14ac:dyDescent="0.45">
      <c r="B25" s="58"/>
      <c r="C25" s="153"/>
      <c r="G25" s="76"/>
      <c r="H25" s="56"/>
      <c r="I25" s="56"/>
      <c r="J25" s="56"/>
      <c r="K25" s="83"/>
      <c r="L25" s="84"/>
      <c r="M25" s="65"/>
      <c r="N25" s="145"/>
      <c r="O25" s="145"/>
      <c r="P25" s="145"/>
    </row>
    <row r="26" spans="2:18" ht="20.149999999999999" customHeight="1" x14ac:dyDescent="0.45">
      <c r="B26" s="58"/>
      <c r="C26" s="212"/>
      <c r="D26" s="487"/>
      <c r="E26" s="487"/>
      <c r="F26" s="487"/>
      <c r="G26" s="76"/>
      <c r="H26" s="186"/>
      <c r="I26" s="484"/>
      <c r="J26" s="484"/>
      <c r="K26" s="83"/>
      <c r="L26" s="84"/>
      <c r="M26" s="65"/>
      <c r="N26" s="145"/>
      <c r="O26" s="145"/>
      <c r="P26" s="145"/>
    </row>
    <row r="27" spans="2:18" ht="20.149999999999999" customHeight="1" x14ac:dyDescent="0.45">
      <c r="B27" s="58"/>
      <c r="C27" s="17"/>
      <c r="D27" s="487"/>
      <c r="E27" s="487"/>
      <c r="F27" s="487"/>
      <c r="G27" s="76"/>
      <c r="H27" s="56"/>
      <c r="I27" s="494"/>
      <c r="J27" s="494"/>
      <c r="K27" s="83"/>
      <c r="L27" s="84"/>
      <c r="M27" s="65"/>
      <c r="N27" s="145"/>
      <c r="O27" s="145"/>
      <c r="P27" s="145"/>
    </row>
    <row r="28" spans="2:18" ht="20.149999999999999" customHeight="1" x14ac:dyDescent="0.45">
      <c r="B28" s="58"/>
      <c r="C28" s="18" t="s">
        <v>1218</v>
      </c>
      <c r="G28" s="76"/>
      <c r="H28" s="56"/>
      <c r="I28" s="56"/>
      <c r="J28" s="56"/>
      <c r="K28" s="83"/>
      <c r="L28" s="84"/>
      <c r="M28" s="65"/>
      <c r="N28" s="145"/>
      <c r="O28" s="145"/>
      <c r="P28" s="145"/>
    </row>
    <row r="29" spans="2:18" ht="20.149999999999999" customHeight="1" x14ac:dyDescent="0.45">
      <c r="B29" s="58"/>
      <c r="C29" s="147" t="s">
        <v>1356</v>
      </c>
      <c r="G29" s="76"/>
      <c r="H29" s="56"/>
      <c r="I29" s="56"/>
      <c r="J29" s="56"/>
      <c r="K29" s="83"/>
      <c r="L29" s="84"/>
      <c r="M29" s="65"/>
      <c r="N29" s="145"/>
      <c r="O29" s="145"/>
      <c r="P29" s="145"/>
    </row>
    <row r="30" spans="2:18" ht="20.149999999999999" customHeight="1" x14ac:dyDescent="0.45">
      <c r="B30" s="58"/>
      <c r="C30" s="147" t="s">
        <v>1303</v>
      </c>
      <c r="G30" s="76"/>
      <c r="H30" s="56"/>
      <c r="I30" s="56"/>
      <c r="J30" s="56"/>
      <c r="K30" s="83"/>
      <c r="L30" s="84"/>
      <c r="M30" s="65"/>
      <c r="N30" s="145"/>
      <c r="O30" s="145"/>
      <c r="P30" s="145"/>
    </row>
    <row r="31" spans="2:18" ht="20.149999999999999" customHeight="1" x14ac:dyDescent="0.45">
      <c r="B31" s="58"/>
      <c r="C31" s="17"/>
      <c r="D31" s="487"/>
      <c r="E31" s="487"/>
      <c r="F31" s="487"/>
      <c r="G31" s="76"/>
      <c r="H31" s="56"/>
      <c r="I31" s="494"/>
      <c r="J31" s="494"/>
      <c r="K31" s="83"/>
      <c r="L31" s="84"/>
      <c r="M31" s="65"/>
      <c r="N31" s="145"/>
      <c r="O31" s="145"/>
      <c r="P31" s="145"/>
    </row>
    <row r="32" spans="2:18" ht="20.149999999999999" customHeight="1" x14ac:dyDescent="0.45">
      <c r="B32" s="58"/>
      <c r="C32" s="17"/>
      <c r="D32" s="147"/>
      <c r="E32" s="147"/>
      <c r="F32" s="147"/>
      <c r="G32" s="193"/>
      <c r="H32" s="56"/>
      <c r="I32" s="56"/>
      <c r="J32" s="56"/>
      <c r="K32" s="190"/>
      <c r="L32" s="84"/>
      <c r="M32" s="65"/>
      <c r="N32" s="145"/>
      <c r="O32" s="145"/>
      <c r="P32" s="145"/>
    </row>
    <row r="33" spans="2:16" ht="20.149999999999999" customHeight="1" x14ac:dyDescent="0.45">
      <c r="B33" s="58"/>
      <c r="C33" s="153"/>
      <c r="G33" s="76"/>
      <c r="H33" s="56"/>
      <c r="I33" s="56"/>
      <c r="J33" s="56"/>
      <c r="K33" s="150"/>
      <c r="L33" s="84"/>
      <c r="M33" s="65"/>
      <c r="N33" s="145"/>
      <c r="O33" s="145"/>
      <c r="P33" s="145"/>
    </row>
    <row r="34" spans="2:16" ht="20.149999999999999" customHeight="1" x14ac:dyDescent="0.45">
      <c r="B34" s="58"/>
      <c r="C34" s="17"/>
      <c r="D34" s="446"/>
      <c r="E34" s="446"/>
      <c r="F34" s="446"/>
      <c r="G34" s="76"/>
      <c r="H34" s="183"/>
      <c r="I34" s="513"/>
      <c r="J34" s="513"/>
      <c r="K34" s="150"/>
      <c r="L34" s="84"/>
      <c r="M34" s="65"/>
      <c r="N34" s="145"/>
      <c r="O34" s="145"/>
      <c r="P34" s="145"/>
    </row>
    <row r="35" spans="2:16" ht="20.149999999999999" customHeight="1" thickBot="1" x14ac:dyDescent="0.5">
      <c r="B35" s="47"/>
      <c r="C35" s="48"/>
      <c r="D35" s="48"/>
      <c r="E35" s="48"/>
      <c r="F35" s="48"/>
      <c r="G35" s="48"/>
      <c r="H35" s="48"/>
      <c r="I35" s="48"/>
      <c r="J35" s="48"/>
      <c r="K35" s="48"/>
      <c r="L35" s="49"/>
    </row>
    <row r="36" spans="2:16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89" t="s">
        <v>13</v>
      </c>
      <c r="K36" s="490"/>
      <c r="L36" s="38">
        <f>SUM(L17:L35)</f>
        <v>106.5</v>
      </c>
      <c r="M36" s="63">
        <f>SUM(P18:P36)</f>
        <v>31.3</v>
      </c>
      <c r="N36" s="133">
        <f>M36/L36</f>
        <v>0.29389671361502351</v>
      </c>
    </row>
    <row r="37" spans="2:16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6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91" t="s">
        <v>19</v>
      </c>
      <c r="K38" s="492"/>
      <c r="L38" s="41">
        <f>L36-L37</f>
        <v>106.5</v>
      </c>
    </row>
    <row r="39" spans="2:16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9.5849999999999991</v>
      </c>
    </row>
    <row r="40" spans="2:16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6"/>
      <c r="J40" s="485" t="s">
        <v>21</v>
      </c>
      <c r="K40" s="486"/>
      <c r="L40" s="43">
        <f>L38+L39</f>
        <v>116.08499999999999</v>
      </c>
    </row>
    <row r="41" spans="2:16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6" ht="20.149999999999999" customHeight="1" x14ac:dyDescent="0.45">
      <c r="B42" s="144" t="s">
        <v>666</v>
      </c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44"/>
      <c r="C46" s="45"/>
      <c r="D46" s="45"/>
      <c r="J46" s="45"/>
      <c r="K46" s="45"/>
      <c r="L46" s="46"/>
    </row>
    <row r="47" spans="2:16" ht="20.149999999999999" customHeight="1" x14ac:dyDescent="0.45">
      <c r="B47" s="36" t="s">
        <v>25</v>
      </c>
      <c r="J47" s="19" t="s">
        <v>26</v>
      </c>
      <c r="L47" s="37"/>
    </row>
    <row r="48" spans="2:16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  <row r="49" spans="6:6" ht="20.5" x14ac:dyDescent="0.45">
      <c r="F49" s="203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4:F24"/>
    <mergeCell ref="I24:J24"/>
    <mergeCell ref="D26:F26"/>
    <mergeCell ref="I26:J26"/>
    <mergeCell ref="J36:K36"/>
    <mergeCell ref="J38:K38"/>
    <mergeCell ref="J40:K40"/>
    <mergeCell ref="D27:F27"/>
    <mergeCell ref="I27:J27"/>
    <mergeCell ref="D31:F31"/>
    <mergeCell ref="I31:J31"/>
    <mergeCell ref="D34:F34"/>
    <mergeCell ref="I34:J34"/>
  </mergeCells>
  <conditionalFormatting sqref="C32">
    <cfRule type="duplicateValues" dxfId="158" priority="1"/>
  </conditionalFormatting>
  <conditionalFormatting sqref="C32:C33">
    <cfRule type="duplicateValues" dxfId="157" priority="2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FDEAC-DCA1-47A6-AAEC-0D3122EEA47E}">
  <sheetPr codeName="Sheet109">
    <tabColor rgb="FFFFC000"/>
    <pageSetUpPr fitToPage="1"/>
  </sheetPr>
  <dimension ref="B1:Q43"/>
  <sheetViews>
    <sheetView topLeftCell="A14" zoomScaleNormal="100" workbookViewId="0">
      <selection activeCell="K33" sqref="K33"/>
    </sheetView>
  </sheetViews>
  <sheetFormatPr defaultColWidth="12.54296875" defaultRowHeight="18.5" x14ac:dyDescent="0.45"/>
  <cols>
    <col min="1" max="1" width="12.54296875" style="19"/>
    <col min="2" max="2" width="15.54296875" style="19" customWidth="1"/>
    <col min="3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1" width="12.54296875" style="19" customWidth="1"/>
    <col min="12" max="12" width="14.9062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646</v>
      </c>
      <c r="J10" s="24" t="s">
        <v>27</v>
      </c>
      <c r="K10" s="464">
        <v>202306279</v>
      </c>
      <c r="L10" s="465"/>
    </row>
    <row r="11" spans="2:12" ht="20.149999999999999" customHeight="1" x14ac:dyDescent="0.45">
      <c r="B11" s="466" t="s">
        <v>1657</v>
      </c>
      <c r="C11" s="467"/>
      <c r="D11" s="468"/>
      <c r="E11" s="25"/>
      <c r="F11" s="469" t="str">
        <f>VLOOKUP(H10,'Delivery Location'!A$4:N$466,2,0)</f>
        <v>JD Central Kitchen                                               15 Woodlands Loop #02-21/22       Singapore 738322</v>
      </c>
      <c r="G11" s="470"/>
      <c r="H11" s="471"/>
      <c r="J11" s="26" t="s">
        <v>9</v>
      </c>
      <c r="K11" s="478">
        <v>45090</v>
      </c>
      <c r="L11" s="479"/>
    </row>
    <row r="12" spans="2:12" ht="20.149999999999999" customHeight="1" x14ac:dyDescent="0.45">
      <c r="B12" s="480" t="s">
        <v>1658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438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451</v>
      </c>
      <c r="L13" s="483"/>
    </row>
    <row r="14" spans="2:12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08"/>
      <c r="C15" s="509"/>
      <c r="D15" s="510"/>
      <c r="E15" s="21"/>
      <c r="F15" s="475"/>
      <c r="G15" s="476"/>
      <c r="H15" s="477"/>
      <c r="J15" s="27" t="s">
        <v>680</v>
      </c>
      <c r="K15" s="495" t="s">
        <v>34</v>
      </c>
      <c r="L15" s="496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7" t="s">
        <v>386</v>
      </c>
      <c r="I17" s="460" t="s">
        <v>385</v>
      </c>
      <c r="J17" s="462"/>
      <c r="K17" s="8" t="s">
        <v>5</v>
      </c>
      <c r="L17" s="9" t="s">
        <v>6</v>
      </c>
      <c r="N17" s="182" t="s">
        <v>1224</v>
      </c>
      <c r="O17" s="182" t="s">
        <v>1226</v>
      </c>
      <c r="P17" s="182" t="s">
        <v>1227</v>
      </c>
    </row>
    <row r="18" spans="2:17" ht="20.149999999999999" customHeight="1" x14ac:dyDescent="0.45">
      <c r="B18" s="29"/>
      <c r="C18" s="212" t="s">
        <v>1009</v>
      </c>
      <c r="D18" s="487" t="str">
        <f>VLOOKUP(C18,'Sales Master'!B$3:D$537,2,)</f>
        <v>Pandan Leaf 班兰叶</v>
      </c>
      <c r="E18" s="487"/>
      <c r="F18" s="487"/>
      <c r="G18" s="17">
        <v>1</v>
      </c>
      <c r="H18" s="208" t="str">
        <f>VLOOKUP(C18,'Sales Master'!$B$3:$E$537,4,0)</f>
        <v>-</v>
      </c>
      <c r="I18" s="519" t="str">
        <f>VLOOKUP(C18,'Sales Master'!$B$3:F$537,5,0)</f>
        <v>1 KG</v>
      </c>
      <c r="J18" s="519"/>
      <c r="K18" s="80">
        <v>3</v>
      </c>
      <c r="L18" s="64">
        <f>K18*G18</f>
        <v>3</v>
      </c>
      <c r="N18" s="145">
        <f>VLOOKUP(C18,'Sales Master'!$B$3:$DA$2279,104,0)</f>
        <v>1.1000000000000001</v>
      </c>
      <c r="O18" s="145">
        <f>K18-N18</f>
        <v>1.9</v>
      </c>
      <c r="P18" s="145">
        <f>O18*G18</f>
        <v>1.9</v>
      </c>
      <c r="Q18" s="63"/>
    </row>
    <row r="19" spans="2:17" ht="20.149999999999999" customHeight="1" x14ac:dyDescent="0.45">
      <c r="B19" s="29"/>
      <c r="C19" s="17"/>
      <c r="D19" s="487"/>
      <c r="E19" s="487"/>
      <c r="F19" s="487"/>
      <c r="G19" s="17"/>
      <c r="H19" s="208"/>
      <c r="I19" s="484"/>
      <c r="J19" s="484"/>
      <c r="K19" s="214"/>
      <c r="L19" s="64"/>
    </row>
    <row r="20" spans="2:17" ht="20.149999999999999" customHeight="1" x14ac:dyDescent="0.45">
      <c r="B20" s="29"/>
      <c r="C20" s="17"/>
      <c r="G20" s="17"/>
      <c r="H20" s="56"/>
      <c r="I20" s="56"/>
      <c r="J20" s="56"/>
      <c r="K20" s="80"/>
      <c r="L20" s="64"/>
    </row>
    <row r="21" spans="2:17" ht="20.149999999999999" customHeight="1" x14ac:dyDescent="0.45">
      <c r="B21" s="29"/>
      <c r="C21" s="17"/>
      <c r="D21" s="487"/>
      <c r="E21" s="487"/>
      <c r="F21" s="487"/>
      <c r="G21" s="17"/>
      <c r="H21" s="56"/>
      <c r="I21" s="494"/>
      <c r="J21" s="494"/>
      <c r="K21" s="80"/>
      <c r="L21" s="64"/>
    </row>
    <row r="22" spans="2:17" ht="20.149999999999999" customHeight="1" x14ac:dyDescent="0.45">
      <c r="B22" s="29"/>
      <c r="C22" s="17"/>
      <c r="G22" s="17"/>
      <c r="H22" s="56"/>
      <c r="I22" s="56"/>
      <c r="J22" s="56"/>
      <c r="K22" s="80"/>
      <c r="L22" s="64"/>
    </row>
    <row r="23" spans="2:17" ht="20.149999999999999" customHeight="1" x14ac:dyDescent="0.45">
      <c r="B23" s="29"/>
      <c r="C23" s="17"/>
      <c r="G23" s="17"/>
      <c r="H23" s="56"/>
      <c r="I23" s="56"/>
      <c r="J23" s="56"/>
      <c r="K23" s="80"/>
      <c r="L23" s="64"/>
    </row>
    <row r="24" spans="2:17" ht="20.149999999999999" customHeight="1" x14ac:dyDescent="0.45">
      <c r="B24" s="29"/>
      <c r="C24" s="17"/>
      <c r="G24" s="17"/>
      <c r="H24" s="56"/>
      <c r="I24" s="56"/>
      <c r="J24" s="56"/>
      <c r="K24" s="80"/>
      <c r="L24" s="64"/>
    </row>
    <row r="25" spans="2:17" ht="20.149999999999999" customHeight="1" x14ac:dyDescent="0.45">
      <c r="B25" s="29"/>
      <c r="C25" s="17"/>
      <c r="G25" s="17"/>
      <c r="H25" s="56"/>
      <c r="I25" s="56"/>
      <c r="J25" s="56"/>
      <c r="K25" s="80"/>
      <c r="L25" s="64"/>
    </row>
    <row r="26" spans="2:17" ht="20.149999999999999" customHeight="1" x14ac:dyDescent="0.45">
      <c r="B26" s="29"/>
      <c r="C26" s="17"/>
      <c r="G26" s="17"/>
      <c r="H26" s="56"/>
      <c r="I26" s="56"/>
      <c r="J26" s="56"/>
      <c r="K26" s="80"/>
      <c r="L26" s="64"/>
    </row>
    <row r="27" spans="2:17" ht="20.149999999999999" customHeight="1" x14ac:dyDescent="0.45">
      <c r="B27" s="29"/>
      <c r="C27" s="17"/>
      <c r="D27" s="487"/>
      <c r="E27" s="487"/>
      <c r="F27" s="487"/>
      <c r="G27" s="17"/>
      <c r="H27" s="56"/>
      <c r="I27" s="494"/>
      <c r="J27" s="494"/>
      <c r="K27" s="80"/>
      <c r="L27" s="64"/>
    </row>
    <row r="28" spans="2:17" ht="20.149999999999999" customHeight="1" thickBot="1" x14ac:dyDescent="0.5">
      <c r="B28" s="32"/>
      <c r="C28" s="33"/>
      <c r="D28" s="488"/>
      <c r="E28" s="488"/>
      <c r="F28" s="488"/>
      <c r="G28" s="33"/>
      <c r="H28" s="57"/>
      <c r="I28" s="459"/>
      <c r="J28" s="459"/>
      <c r="K28" s="34"/>
      <c r="L28" s="35"/>
    </row>
    <row r="29" spans="2:17" ht="20.149999999999999" customHeight="1" thickBot="1" x14ac:dyDescent="0.5">
      <c r="B29" s="36"/>
      <c r="L29" s="37"/>
    </row>
    <row r="30" spans="2:17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SUM(L17:L29)</f>
        <v>3</v>
      </c>
      <c r="M30" s="63">
        <f>SUM(P18:P27)</f>
        <v>1.9</v>
      </c>
      <c r="N30" s="133">
        <f>M30/L30</f>
        <v>0.6333333333333333</v>
      </c>
    </row>
    <row r="31" spans="2:17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7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3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0.27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3.27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 t="s">
        <v>439</v>
      </c>
    </row>
    <row r="36" spans="2:12" ht="20.149999999999999" customHeight="1" x14ac:dyDescent="0.45">
      <c r="B36" s="144" t="s">
        <v>666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J38" s="45"/>
      <c r="K38" s="45"/>
      <c r="L38" s="46"/>
    </row>
    <row r="39" spans="2:12" ht="20.149999999999999" customHeight="1" x14ac:dyDescent="0.45">
      <c r="B39" s="36"/>
      <c r="J39" s="19" t="s">
        <v>26</v>
      </c>
      <c r="L39" s="37"/>
    </row>
    <row r="40" spans="2:12" ht="20.149999999999999" customHeight="1" x14ac:dyDescent="0.45">
      <c r="B40" s="44"/>
      <c r="C40" s="45"/>
      <c r="D40" s="45"/>
      <c r="J40" s="19" t="s">
        <v>690</v>
      </c>
      <c r="L40" s="37"/>
    </row>
    <row r="41" spans="2:12" ht="20.149999999999999" customHeight="1" x14ac:dyDescent="0.45">
      <c r="B41" s="36" t="s">
        <v>25</v>
      </c>
      <c r="J41" s="19" t="s">
        <v>691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20.5" x14ac:dyDescent="0.45">
      <c r="F43" s="202"/>
    </row>
  </sheetData>
  <mergeCells count="2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1:F21"/>
    <mergeCell ref="I21:J21"/>
    <mergeCell ref="D18:F18"/>
    <mergeCell ref="I18:J18"/>
    <mergeCell ref="D17:F17"/>
    <mergeCell ref="J32:K32"/>
    <mergeCell ref="J34:K34"/>
    <mergeCell ref="D27:F27"/>
    <mergeCell ref="I27:J27"/>
    <mergeCell ref="D28:F28"/>
    <mergeCell ref="I28:J28"/>
    <mergeCell ref="J30:K30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8D2AA-15C7-474E-8854-BDFB45C29D91}">
  <sheetPr codeName="Sheet87">
    <tabColor rgb="FFFFC000"/>
    <pageSetUpPr fitToPage="1"/>
  </sheetPr>
  <dimension ref="B1:AQ230"/>
  <sheetViews>
    <sheetView topLeftCell="B9" zoomScaleNormal="100" workbookViewId="0">
      <selection activeCell="G24" sqref="G24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9.7265625" style="19" customWidth="1"/>
    <col min="7" max="7" width="8.54296875" style="19" customWidth="1"/>
    <col min="8" max="8" width="15.089843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  <c r="N8" s="19" t="s">
        <v>1496</v>
      </c>
    </row>
    <row r="9" spans="2:14" ht="19" thickBot="1" x14ac:dyDescent="0.5">
      <c r="B9" s="18"/>
      <c r="N9" s="19" t="s">
        <v>1695</v>
      </c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647</v>
      </c>
      <c r="J10" s="24" t="s">
        <v>27</v>
      </c>
      <c r="K10" s="464">
        <v>202504274</v>
      </c>
      <c r="L10" s="465"/>
      <c r="N10" s="19" t="s">
        <v>1334</v>
      </c>
    </row>
    <row r="11" spans="2:14" ht="20.149999999999999" customHeight="1" x14ac:dyDescent="0.45">
      <c r="B11" s="466" t="s">
        <v>1739</v>
      </c>
      <c r="C11" s="467"/>
      <c r="D11" s="468"/>
      <c r="E11" s="25"/>
      <c r="F11" s="469" t="str">
        <f>VLOOKUP(H10,'Delivery Location'!A$4:N$466,2,0)</f>
        <v>KOPI TAN                                                        Bukit Canberra Hawker Centre #01-23         21 Canberra Link, Singapore 752350</v>
      </c>
      <c r="G11" s="470"/>
      <c r="H11" s="471"/>
      <c r="J11" s="26" t="s">
        <v>9</v>
      </c>
      <c r="K11" s="478">
        <v>45758</v>
      </c>
      <c r="L11" s="479"/>
      <c r="N11" s="19" t="s">
        <v>1697</v>
      </c>
    </row>
    <row r="12" spans="2:14" ht="20.149999999999999" customHeight="1" x14ac:dyDescent="0.45">
      <c r="B12" s="480" t="s">
        <v>1710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4" ht="20.149999999999999" customHeight="1" x14ac:dyDescent="0.45">
      <c r="B13" s="480" t="s">
        <v>1711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1698</v>
      </c>
      <c r="L13" s="483"/>
    </row>
    <row r="14" spans="2:14" ht="20.149999999999999" customHeight="1" x14ac:dyDescent="0.45">
      <c r="B14" s="480" t="s">
        <v>1712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  <c r="N14" s="149" t="s">
        <v>1065</v>
      </c>
    </row>
    <row r="15" spans="2:14" ht="18" customHeight="1" thickBot="1" x14ac:dyDescent="0.5">
      <c r="B15" s="508"/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6" ht="20.149999999999999" customHeight="1" x14ac:dyDescent="0.45">
      <c r="B18" s="58"/>
      <c r="C18" s="212" t="s">
        <v>715</v>
      </c>
      <c r="D18" s="487" t="str">
        <f>VLOOKUP(C18,'Sales Master'!B$3:D$537,2,)</f>
        <v>Coconut Sugar Syrup 椰糖浆</v>
      </c>
      <c r="E18" s="487"/>
      <c r="F18" s="487"/>
      <c r="G18" s="76">
        <v>4</v>
      </c>
      <c r="H18" s="186" t="str">
        <f>VLOOKUP(C18,'Sales Master'!$B$3:$F$2420,5,0)</f>
        <v>GW: 5 KG/ Btl支</v>
      </c>
      <c r="I18" s="484" t="str">
        <f>VLOOKUP(C18,'Sales Master'!$B$3:$E$2420,4,0)</f>
        <v>DO!</v>
      </c>
      <c r="J18" s="484"/>
      <c r="K18" s="30">
        <f>VLOOKUP(C18,'Sales Master'!B$3:AQ$537,42,0)</f>
        <v>20</v>
      </c>
      <c r="L18" s="64">
        <f t="shared" ref="L18" si="0">K18*G18</f>
        <v>80</v>
      </c>
      <c r="M18" s="65"/>
    </row>
    <row r="19" spans="2:16" ht="20.149999999999999" customHeight="1" x14ac:dyDescent="0.45">
      <c r="B19" s="58"/>
      <c r="C19" s="212" t="s">
        <v>717</v>
      </c>
      <c r="D19" s="487" t="str">
        <f>VLOOKUP(C19,'Sales Master'!B$3:D$537,2,)</f>
        <v>Pong Thai Hai (Wet) 碰大海(湿)</v>
      </c>
      <c r="E19" s="487"/>
      <c r="F19" s="487"/>
      <c r="G19" s="76">
        <v>4</v>
      </c>
      <c r="H19" s="186" t="str">
        <f>VLOOKUP(C19,'Sales Master'!$B$3:$F$2420,5,0)</f>
        <v>1 KG/ Pkt包</v>
      </c>
      <c r="I19" s="484" t="str">
        <f>VLOOKUP(C19,'Sales Master'!$B$3:$E$2420,4,0)</f>
        <v>DO!</v>
      </c>
      <c r="J19" s="484"/>
      <c r="K19" s="30">
        <f>VLOOKUP(C19,'Sales Master'!B$3:AQ$537,42,0)</f>
        <v>14</v>
      </c>
      <c r="L19" s="64">
        <f>K19*G19</f>
        <v>56</v>
      </c>
      <c r="M19" s="65"/>
      <c r="N19" s="145"/>
      <c r="O19" s="145"/>
      <c r="P19" s="145"/>
    </row>
    <row r="20" spans="2:16" ht="20.149999999999999" customHeight="1" x14ac:dyDescent="0.45">
      <c r="B20" s="58"/>
      <c r="C20" s="212" t="s">
        <v>807</v>
      </c>
      <c r="D20" s="487" t="str">
        <f>VLOOKUP(C20,'Sales Master'!B$3:D$537,2,)</f>
        <v>Chin Chow  仙草</v>
      </c>
      <c r="E20" s="487"/>
      <c r="F20" s="487"/>
      <c r="G20" s="76">
        <v>2</v>
      </c>
      <c r="H20" s="186" t="str">
        <f>VLOOKUP(C20,'Sales Master'!$B$3:$F$2420,5,0)</f>
        <v>4 KG/ Pkt包</v>
      </c>
      <c r="I20" s="484" t="str">
        <f>VLOOKUP(C20,'Sales Master'!$B$3:$E$2420,4,0)</f>
        <v>TSM</v>
      </c>
      <c r="J20" s="484"/>
      <c r="K20" s="30">
        <f>VLOOKUP(C20,'Sales Master'!B$3:AQ$537,42,0)</f>
        <v>6</v>
      </c>
      <c r="L20" s="64">
        <f t="shared" ref="L20:L23" si="1">K20*G20</f>
        <v>12</v>
      </c>
      <c r="M20" s="65"/>
      <c r="N20" s="145"/>
      <c r="O20" s="145"/>
      <c r="P20" s="145"/>
    </row>
    <row r="21" spans="2:16" ht="20.149999999999999" customHeight="1" x14ac:dyDescent="0.45">
      <c r="B21" s="58"/>
      <c r="C21" s="212" t="s">
        <v>966</v>
      </c>
      <c r="D21" s="487" t="str">
        <f>VLOOKUP(C21,'Sales Master'!B$3:D$537,2,)</f>
        <v>Coconut Milk 椰浆</v>
      </c>
      <c r="E21" s="487"/>
      <c r="F21" s="487"/>
      <c r="G21" s="76">
        <v>2</v>
      </c>
      <c r="H21" s="186" t="str">
        <f>VLOOKUP(C21,'Sales Master'!$B$3:$F$2420,5,0)</f>
        <v>(1L x 12bag)/箱</v>
      </c>
      <c r="I21" s="484" t="str">
        <f>VLOOKUP(C21,'Sales Master'!$B$3:$E$2420,4,0)</f>
        <v>Kara UHT</v>
      </c>
      <c r="J21" s="484"/>
      <c r="K21" s="30">
        <f>VLOOKUP(C21,'Sales Master'!B$3:AQ$537,42,0)</f>
        <v>55</v>
      </c>
      <c r="L21" s="64">
        <f>K21*G21</f>
        <v>110</v>
      </c>
      <c r="M21" s="65"/>
      <c r="N21" s="145"/>
      <c r="O21" s="145"/>
      <c r="P21" s="145"/>
    </row>
    <row r="22" spans="2:16" ht="20.149999999999999" customHeight="1" x14ac:dyDescent="0.45">
      <c r="B22" s="58"/>
      <c r="C22" s="212" t="s">
        <v>1253</v>
      </c>
      <c r="D22" s="487" t="str">
        <f>VLOOKUP(C22,'Sales Master'!B$3:D$537,2,)</f>
        <v>Corn Cream 玉米浆</v>
      </c>
      <c r="E22" s="487"/>
      <c r="F22" s="487"/>
      <c r="G22" s="76">
        <v>1</v>
      </c>
      <c r="H22" s="186" t="str">
        <f>VLOOKUP(C22,'Sales Master'!$B$3:$F$2420,5,0)</f>
        <v>24 CAN/ Ctn</v>
      </c>
      <c r="I22" s="484" t="str">
        <f>VLOOKUP(C22,'Sales Master'!$B$3:$E$2420,4,0)</f>
        <v>Golden Boy</v>
      </c>
      <c r="J22" s="484"/>
      <c r="K22" s="30">
        <f>VLOOKUP(C22,'Sales Master'!B$3:AQ$537,42,0)</f>
        <v>22</v>
      </c>
      <c r="L22" s="64">
        <f t="shared" si="1"/>
        <v>22</v>
      </c>
      <c r="M22" s="65"/>
      <c r="N22" s="145"/>
      <c r="O22" s="145"/>
      <c r="P22" s="145"/>
    </row>
    <row r="23" spans="2:16" ht="20.149999999999999" customHeight="1" x14ac:dyDescent="0.45">
      <c r="B23" s="58"/>
      <c r="C23" s="212" t="s">
        <v>1753</v>
      </c>
      <c r="D23" s="487" t="str">
        <f>VLOOKUP(C23,'Sales Master'!B$3:D$537,2,)</f>
        <v>Yam Skinless 去皮芋头</v>
      </c>
      <c r="E23" s="487"/>
      <c r="F23" s="487"/>
      <c r="G23" s="76">
        <v>7.4</v>
      </c>
      <c r="H23" s="186" t="str">
        <f>VLOOKUP(C23,'Sales Master'!$B$3:$F$2420,5,0)</f>
        <v>1 KG</v>
      </c>
      <c r="I23" s="484" t="str">
        <f>VLOOKUP(C23,'Sales Master'!$B$3:$E$2420,4,0)</f>
        <v>Thailand</v>
      </c>
      <c r="J23" s="484"/>
      <c r="K23" s="30">
        <f>VLOOKUP(C23,'Sales Master'!B$3:AQ$537,42,0)</f>
        <v>6.8</v>
      </c>
      <c r="L23" s="64">
        <f t="shared" si="1"/>
        <v>50.32</v>
      </c>
      <c r="M23" s="65"/>
      <c r="N23" s="145"/>
      <c r="O23" s="145"/>
      <c r="P23" s="145"/>
    </row>
    <row r="24" spans="2:16" ht="20.149999999999999" customHeight="1" x14ac:dyDescent="0.45">
      <c r="B24" s="58"/>
      <c r="C24" s="212"/>
      <c r="G24" s="76"/>
      <c r="H24" s="186"/>
      <c r="I24" s="208"/>
      <c r="J24" s="208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58"/>
      <c r="C25" s="212"/>
      <c r="G25" s="76"/>
      <c r="H25" s="186"/>
      <c r="I25" s="208"/>
      <c r="J25" s="208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58"/>
      <c r="C26" s="153"/>
      <c r="G26" s="76"/>
      <c r="H26" s="186"/>
      <c r="I26" s="208"/>
      <c r="J26" s="208"/>
      <c r="K26" s="150"/>
      <c r="L26" s="64"/>
      <c r="M26" s="65"/>
      <c r="N26" s="145"/>
      <c r="O26" s="145"/>
      <c r="P26" s="145"/>
    </row>
    <row r="27" spans="2:16" ht="20.149999999999999" customHeight="1" x14ac:dyDescent="0.45">
      <c r="B27" s="58"/>
      <c r="C27" s="212"/>
      <c r="D27" s="487"/>
      <c r="E27" s="487"/>
      <c r="F27" s="487"/>
      <c r="G27" s="17"/>
      <c r="H27" s="186"/>
      <c r="I27" s="208"/>
      <c r="J27" s="208"/>
      <c r="K27" s="150"/>
      <c r="L27" s="64"/>
      <c r="M27" s="65"/>
      <c r="N27" s="145"/>
      <c r="O27" s="145"/>
      <c r="P27" s="145"/>
    </row>
    <row r="28" spans="2:16" ht="20.149999999999999" customHeight="1" x14ac:dyDescent="0.45">
      <c r="B28" s="58"/>
      <c r="C28" s="212"/>
      <c r="D28" s="147"/>
      <c r="E28" s="147"/>
      <c r="F28" s="147"/>
      <c r="G28" s="17"/>
      <c r="H28" s="186"/>
      <c r="I28" s="208"/>
      <c r="J28" s="208"/>
      <c r="K28" s="150"/>
      <c r="L28" s="64"/>
      <c r="M28" s="65"/>
      <c r="N28" s="145"/>
      <c r="O28" s="145"/>
      <c r="P28" s="145"/>
    </row>
    <row r="29" spans="2:16" ht="20.149999999999999" customHeight="1" x14ac:dyDescent="0.45">
      <c r="B29" s="58"/>
      <c r="C29" s="244"/>
      <c r="D29" s="487"/>
      <c r="E29" s="487"/>
      <c r="F29" s="487"/>
      <c r="G29" s="76"/>
      <c r="H29" s="211"/>
      <c r="I29" s="513"/>
      <c r="J29" s="513"/>
      <c r="K29" s="83"/>
      <c r="L29" s="64"/>
      <c r="M29" s="65"/>
      <c r="N29" s="145"/>
      <c r="O29" s="145"/>
      <c r="P29" s="145"/>
    </row>
    <row r="30" spans="2:16" ht="20.149999999999999" customHeight="1" x14ac:dyDescent="0.45">
      <c r="B30" s="58"/>
      <c r="L30" s="64"/>
      <c r="M30" s="65"/>
      <c r="N30" s="145"/>
      <c r="O30" s="145"/>
      <c r="P30" s="145"/>
    </row>
    <row r="31" spans="2:16" ht="20.149999999999999" customHeight="1" x14ac:dyDescent="0.45">
      <c r="B31" s="58"/>
      <c r="C31" s="244"/>
      <c r="G31" s="76"/>
      <c r="H31" s="211"/>
      <c r="I31" s="209"/>
      <c r="J31" s="209"/>
      <c r="K31" s="83"/>
      <c r="L31" s="64"/>
      <c r="M31" s="65"/>
      <c r="N31" s="145"/>
      <c r="O31" s="145"/>
      <c r="P31" s="145"/>
    </row>
    <row r="32" spans="2:16" ht="20.149999999999999" customHeight="1" thickBot="1" x14ac:dyDescent="0.5">
      <c r="B32" s="47"/>
      <c r="C32" s="48"/>
      <c r="D32" s="48"/>
      <c r="E32" s="48"/>
      <c r="F32" s="48"/>
      <c r="G32" s="48"/>
      <c r="H32" s="48"/>
      <c r="I32" s="48"/>
      <c r="J32" s="48"/>
      <c r="K32" s="48"/>
      <c r="L32" s="49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89" t="s">
        <v>13</v>
      </c>
      <c r="K33" s="490"/>
      <c r="L33" s="38">
        <f>SUM(L18:L32)</f>
        <v>330.32</v>
      </c>
      <c r="M33" s="63">
        <f>SUM(P18:P32)</f>
        <v>0</v>
      </c>
      <c r="N33" s="133">
        <f>M33/L33</f>
        <v>0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91" t="s">
        <v>19</v>
      </c>
      <c r="K35" s="492"/>
      <c r="L35" s="41">
        <f>L33-L34</f>
        <v>330.32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29.7288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85" t="s">
        <v>21</v>
      </c>
      <c r="K37" s="486"/>
      <c r="L37" s="43">
        <f>L35+L36</f>
        <v>360.04879999999997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144" t="s">
        <v>666</v>
      </c>
      <c r="L39" s="37"/>
    </row>
    <row r="40" spans="2:14" ht="20.149999999999999" customHeight="1" x14ac:dyDescent="0.45">
      <c r="B40" s="245"/>
      <c r="L40" s="37"/>
    </row>
    <row r="41" spans="2:14" ht="20.149999999999999" customHeight="1" x14ac:dyDescent="0.45">
      <c r="B41" s="245"/>
      <c r="L41" s="37"/>
    </row>
    <row r="42" spans="2:14" ht="20.149999999999999" customHeight="1" x14ac:dyDescent="0.45">
      <c r="B42" s="245"/>
      <c r="L42" s="37"/>
    </row>
    <row r="43" spans="2:14" ht="20.149999999999999" customHeight="1" x14ac:dyDescent="0.45">
      <c r="B43" s="245"/>
      <c r="L43" s="37"/>
    </row>
    <row r="44" spans="2:14" ht="20.149999999999999" customHeight="1" x14ac:dyDescent="0.45">
      <c r="B44" s="245"/>
      <c r="L44" s="37"/>
    </row>
    <row r="45" spans="2:14" ht="20.149999999999999" customHeight="1" x14ac:dyDescent="0.45">
      <c r="B45" s="44"/>
      <c r="C45" s="45"/>
      <c r="D45" s="45"/>
      <c r="J45" s="45"/>
      <c r="K45" s="45"/>
      <c r="L45" s="46"/>
    </row>
    <row r="46" spans="2:14" ht="20.149999999999999" customHeight="1" x14ac:dyDescent="0.45">
      <c r="B46" s="36" t="s">
        <v>25</v>
      </c>
      <c r="J46" s="19" t="s">
        <v>26</v>
      </c>
      <c r="L46" s="37"/>
    </row>
    <row r="47" spans="2:14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  <row r="48" spans="2:14" ht="20.5" x14ac:dyDescent="0.45">
      <c r="F48" s="203"/>
    </row>
    <row r="56" spans="43:43" x14ac:dyDescent="0.45">
      <c r="AQ56" s="19">
        <v>3.5</v>
      </c>
    </row>
    <row r="230" spans="11:11" x14ac:dyDescent="0.45">
      <c r="K230" s="19">
        <v>3</v>
      </c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I19:J19"/>
    <mergeCell ref="D20:F20"/>
    <mergeCell ref="I20:J20"/>
    <mergeCell ref="D19:F19"/>
    <mergeCell ref="D22:F22"/>
    <mergeCell ref="D27:F27"/>
    <mergeCell ref="K15:L15"/>
    <mergeCell ref="J37:K37"/>
    <mergeCell ref="J33:K33"/>
    <mergeCell ref="J35:K35"/>
    <mergeCell ref="D17:F17"/>
    <mergeCell ref="I18:J18"/>
    <mergeCell ref="D18:F18"/>
    <mergeCell ref="I17:J17"/>
    <mergeCell ref="I23:J23"/>
    <mergeCell ref="D23:F23"/>
    <mergeCell ref="I22:J22"/>
    <mergeCell ref="D29:F29"/>
    <mergeCell ref="I29:J29"/>
    <mergeCell ref="D21:F21"/>
    <mergeCell ref="I21:J21"/>
  </mergeCells>
  <conditionalFormatting sqref="C18:C26">
    <cfRule type="duplicateValues" dxfId="156" priority="2711"/>
  </conditionalFormatting>
  <conditionalFormatting sqref="C26:C27">
    <cfRule type="duplicateValues" dxfId="155" priority="2"/>
  </conditionalFormatting>
  <conditionalFormatting sqref="C31 C29">
    <cfRule type="duplicateValues" dxfId="154" priority="2603"/>
  </conditionalFormatting>
  <pageMargins left="0.51181102362204722" right="0.23622047244094491" top="0.23622047244094491" bottom="0.23622047244094491" header="0.31496062992125984" footer="0.31496062992125984"/>
  <pageSetup paperSize="9" scale="76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A8DBB-0FF9-484B-B743-4587BAD2D364}">
  <sheetPr>
    <tabColor rgb="FFFFC000"/>
    <pageSetUpPr fitToPage="1"/>
  </sheetPr>
  <dimension ref="A1:R45"/>
  <sheetViews>
    <sheetView topLeftCell="A9" zoomScaleNormal="100" workbookViewId="0">
      <selection activeCell="B1" sqref="B1:L44"/>
    </sheetView>
  </sheetViews>
  <sheetFormatPr defaultColWidth="12.54296875" defaultRowHeight="18.5" x14ac:dyDescent="0.45"/>
  <cols>
    <col min="1" max="3" width="12.6328125" style="19" customWidth="1"/>
    <col min="4" max="4" width="13.6328125" style="19" customWidth="1"/>
    <col min="5" max="5" width="1.54296875" style="19" customWidth="1"/>
    <col min="6" max="6" width="17.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6328125" style="19" customWidth="1"/>
    <col min="11" max="12" width="12.632812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103</v>
      </c>
      <c r="J10" s="24" t="s">
        <v>27</v>
      </c>
      <c r="K10" s="464">
        <v>202404370</v>
      </c>
      <c r="L10" s="465"/>
    </row>
    <row r="11" spans="2:12" ht="20.149999999999999" customHeight="1" x14ac:dyDescent="0.45">
      <c r="B11" s="466" t="s">
        <v>1958</v>
      </c>
      <c r="C11" s="467"/>
      <c r="D11" s="468"/>
      <c r="E11" s="25"/>
      <c r="F11" s="469" t="str">
        <f>VLOOKUP(H10,'Delivery Location'!A$4:N$466,2,0)</f>
        <v>Raffle Girls' School                                              2, Braddell Rise, Singapore 31887</v>
      </c>
      <c r="G11" s="470"/>
      <c r="H11" s="471"/>
      <c r="J11" s="26" t="s">
        <v>9</v>
      </c>
      <c r="K11" s="478">
        <v>45395</v>
      </c>
      <c r="L11" s="479"/>
    </row>
    <row r="12" spans="2:12" ht="20.149999999999999" customHeight="1" x14ac:dyDescent="0.45">
      <c r="B12" s="480" t="s">
        <v>1959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/>
      <c r="C13" s="453"/>
      <c r="D13" s="481"/>
      <c r="E13" s="25"/>
      <c r="F13" s="472"/>
      <c r="G13" s="473"/>
      <c r="H13" s="474"/>
      <c r="J13" s="26" t="s">
        <v>10</v>
      </c>
      <c r="K13" s="482" t="s">
        <v>1963</v>
      </c>
      <c r="L13" s="483"/>
    </row>
    <row r="14" spans="2:12" ht="20.149999999999999" customHeight="1" x14ac:dyDescent="0.45">
      <c r="B14" s="480" t="s">
        <v>1973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18"/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1:18" ht="20.149999999999999" customHeight="1" x14ac:dyDescent="0.45">
      <c r="A18" s="65"/>
      <c r="B18" s="242"/>
      <c r="C18" s="212" t="s">
        <v>1192</v>
      </c>
      <c r="D18" s="487" t="str">
        <f>VLOOKUP(C18,'Sales Master'!B$3:D$537,2,)</f>
        <v>Bean Curd Jelly 豆花冻</v>
      </c>
      <c r="E18" s="487"/>
      <c r="F18" s="487"/>
      <c r="G18" s="76">
        <v>80</v>
      </c>
      <c r="H18" s="247" t="str">
        <f>VLOOKUP(C18,'Sales Master'!$B$3:$F$2420,5,0)</f>
        <v>200 ml</v>
      </c>
      <c r="I18" s="513" t="str">
        <f>VLOOKUP(C18,'Sales Master'!$B$3:$E$2420,4,0)</f>
        <v>DO!</v>
      </c>
      <c r="J18" s="513"/>
      <c r="K18" s="83">
        <v>0.95</v>
      </c>
      <c r="L18" s="84">
        <f>K18*G18</f>
        <v>76</v>
      </c>
      <c r="N18" s="145">
        <f>VLOOKUP(C18,'Sales Master'!$B$3:$DA$2279,104,0)</f>
        <v>0.5</v>
      </c>
      <c r="O18" s="145">
        <f>K18-N18</f>
        <v>0.44999999999999996</v>
      </c>
      <c r="P18" s="145">
        <f>O18*G18</f>
        <v>36</v>
      </c>
      <c r="Q18" s="63"/>
      <c r="R18" s="63">
        <f>N18*G18*0.07</f>
        <v>2.8000000000000003</v>
      </c>
    </row>
    <row r="19" spans="1:18" ht="20.149999999999999" customHeight="1" x14ac:dyDescent="0.45">
      <c r="A19" s="65"/>
      <c r="B19" s="242"/>
      <c r="C19" s="212"/>
      <c r="D19" s="487"/>
      <c r="E19" s="487"/>
      <c r="F19" s="487"/>
      <c r="G19" s="76"/>
      <c r="H19" s="247"/>
      <c r="I19" s="513"/>
      <c r="J19" s="513"/>
      <c r="K19" s="83"/>
      <c r="L19" s="84"/>
      <c r="N19" s="145"/>
      <c r="O19" s="145"/>
      <c r="P19" s="145"/>
      <c r="Q19" s="63"/>
      <c r="R19" s="63"/>
    </row>
    <row r="20" spans="1:18" ht="20.149999999999999" customHeight="1" x14ac:dyDescent="0.45">
      <c r="A20" s="65"/>
      <c r="B20" s="242"/>
      <c r="C20" s="212"/>
      <c r="D20" s="487"/>
      <c r="E20" s="487"/>
      <c r="F20" s="487"/>
      <c r="G20" s="76"/>
      <c r="H20" s="247"/>
      <c r="I20" s="513"/>
      <c r="J20" s="513"/>
      <c r="K20" s="83"/>
      <c r="L20" s="84"/>
      <c r="N20" s="145"/>
      <c r="O20" s="145"/>
      <c r="P20" s="145"/>
      <c r="Q20" s="63"/>
      <c r="R20" s="63"/>
    </row>
    <row r="21" spans="1:18" ht="20.149999999999999" customHeight="1" x14ac:dyDescent="0.45">
      <c r="A21" s="65"/>
      <c r="B21" s="242"/>
      <c r="C21" s="212"/>
      <c r="D21" s="487"/>
      <c r="E21" s="487"/>
      <c r="F21" s="487"/>
      <c r="G21" s="76"/>
      <c r="H21" s="247"/>
      <c r="I21" s="513"/>
      <c r="J21" s="513"/>
      <c r="K21" s="83"/>
      <c r="L21" s="84"/>
      <c r="N21" s="145"/>
      <c r="O21" s="145"/>
      <c r="P21" s="145"/>
      <c r="Q21" s="63"/>
      <c r="R21" s="63"/>
    </row>
    <row r="22" spans="1:18" ht="20.149999999999999" customHeight="1" x14ac:dyDescent="0.45">
      <c r="A22" s="65"/>
      <c r="B22" s="242"/>
      <c r="C22" s="212"/>
      <c r="D22" s="487"/>
      <c r="E22" s="487"/>
      <c r="F22" s="487"/>
      <c r="G22" s="76"/>
      <c r="H22" s="247"/>
      <c r="I22" s="513"/>
      <c r="J22" s="513"/>
      <c r="K22" s="83"/>
      <c r="L22" s="84"/>
      <c r="N22" s="145"/>
      <c r="O22" s="145"/>
      <c r="P22" s="145"/>
      <c r="Q22" s="63"/>
      <c r="R22" s="63"/>
    </row>
    <row r="23" spans="1:18" ht="20.149999999999999" customHeight="1" x14ac:dyDescent="0.45">
      <c r="A23" s="65"/>
      <c r="B23" s="242"/>
      <c r="C23" s="212"/>
      <c r="D23" s="487"/>
      <c r="E23" s="487"/>
      <c r="F23" s="487"/>
      <c r="G23" s="76"/>
      <c r="H23" s="247"/>
      <c r="I23" s="513"/>
      <c r="J23" s="513"/>
      <c r="K23" s="83"/>
      <c r="L23" s="84"/>
      <c r="N23" s="145"/>
      <c r="O23" s="145"/>
      <c r="P23" s="145"/>
      <c r="Q23" s="63"/>
      <c r="R23" s="63"/>
    </row>
    <row r="24" spans="1:18" ht="20.149999999999999" customHeight="1" x14ac:dyDescent="0.45">
      <c r="A24" s="65"/>
      <c r="B24" s="242"/>
      <c r="C24" s="212"/>
      <c r="D24" s="487"/>
      <c r="E24" s="487"/>
      <c r="F24" s="487"/>
      <c r="G24" s="76"/>
      <c r="H24" s="247"/>
      <c r="I24" s="513"/>
      <c r="J24" s="513"/>
      <c r="K24" s="83"/>
      <c r="L24" s="84"/>
      <c r="N24" s="145"/>
      <c r="O24" s="145"/>
      <c r="P24" s="145"/>
      <c r="Q24" s="63"/>
      <c r="R24" s="63"/>
    </row>
    <row r="25" spans="1:18" ht="20.149999999999999" customHeight="1" x14ac:dyDescent="0.45">
      <c r="A25" s="65"/>
      <c r="B25" s="242"/>
      <c r="C25" s="212"/>
      <c r="D25" s="487"/>
      <c r="E25" s="487"/>
      <c r="F25" s="487"/>
      <c r="G25" s="76"/>
      <c r="H25" s="247"/>
      <c r="I25" s="513"/>
      <c r="J25" s="513"/>
      <c r="K25" s="83"/>
      <c r="L25" s="84"/>
      <c r="N25" s="145"/>
      <c r="O25" s="145"/>
      <c r="P25" s="145"/>
      <c r="Q25" s="63"/>
      <c r="R25" s="63"/>
    </row>
    <row r="26" spans="1:18" ht="20.149999999999999" customHeight="1" x14ac:dyDescent="0.45">
      <c r="A26" s="65"/>
      <c r="B26" s="242"/>
      <c r="C26" s="212"/>
      <c r="D26" s="487"/>
      <c r="E26" s="487"/>
      <c r="F26" s="487"/>
      <c r="G26" s="76"/>
      <c r="H26" s="247"/>
      <c r="I26" s="513"/>
      <c r="J26" s="513"/>
      <c r="K26" s="83"/>
      <c r="L26" s="84"/>
      <c r="N26" s="145"/>
      <c r="O26" s="145"/>
      <c r="P26" s="145"/>
      <c r="Q26" s="63"/>
      <c r="R26" s="63"/>
    </row>
    <row r="27" spans="1:18" ht="20.149999999999999" customHeight="1" x14ac:dyDescent="0.45">
      <c r="A27" s="65"/>
      <c r="B27" s="242"/>
      <c r="C27" s="212"/>
      <c r="D27" s="487"/>
      <c r="E27" s="487"/>
      <c r="F27" s="487"/>
      <c r="G27" s="76"/>
      <c r="H27" s="247"/>
      <c r="I27" s="513"/>
      <c r="J27" s="513"/>
      <c r="K27" s="83"/>
      <c r="L27" s="84"/>
      <c r="N27" s="145"/>
      <c r="O27" s="145"/>
      <c r="P27" s="145"/>
      <c r="Q27" s="63"/>
      <c r="R27" s="63"/>
    </row>
    <row r="28" spans="1:18" ht="20.149999999999999" customHeight="1" x14ac:dyDescent="0.45">
      <c r="A28" s="65"/>
      <c r="B28" s="242"/>
      <c r="C28" s="212"/>
      <c r="D28" s="487"/>
      <c r="E28" s="487"/>
      <c r="F28" s="487"/>
      <c r="G28" s="76"/>
      <c r="H28" s="183"/>
      <c r="I28" s="513"/>
      <c r="J28" s="513"/>
      <c r="K28" s="83"/>
      <c r="L28" s="84"/>
      <c r="N28" s="145"/>
      <c r="O28" s="145"/>
      <c r="P28" s="145"/>
      <c r="Q28" s="63"/>
      <c r="R28" s="63"/>
    </row>
    <row r="29" spans="1:18" ht="20.149999999999999" customHeight="1" x14ac:dyDescent="0.45">
      <c r="A29" s="65"/>
      <c r="B29" s="139"/>
      <c r="C29" s="129"/>
      <c r="D29" s="140"/>
      <c r="E29" s="140"/>
      <c r="F29" s="140"/>
      <c r="G29" s="129"/>
      <c r="H29" s="138"/>
      <c r="I29" s="517"/>
      <c r="J29" s="517"/>
      <c r="K29" s="95"/>
      <c r="L29" s="98"/>
      <c r="M29" s="63"/>
      <c r="N29" s="63"/>
      <c r="Q29" s="63"/>
    </row>
    <row r="30" spans="1:18" ht="20.149999999999999" customHeight="1" thickBot="1" x14ac:dyDescent="0.5">
      <c r="A30" s="65"/>
      <c r="B30" s="141"/>
      <c r="C30" s="76"/>
      <c r="D30" s="65"/>
      <c r="E30" s="65"/>
      <c r="F30" s="65"/>
      <c r="G30" s="76"/>
      <c r="H30" s="82"/>
      <c r="I30" s="76"/>
      <c r="J30" s="76"/>
      <c r="K30" s="83"/>
      <c r="L30" s="84"/>
    </row>
    <row r="31" spans="1:18" ht="20.149999999999999" customHeight="1" x14ac:dyDescent="0.45">
      <c r="A31" s="65"/>
      <c r="B31" s="142" t="s">
        <v>16</v>
      </c>
      <c r="C31" s="135"/>
      <c r="D31" s="135"/>
      <c r="E31" s="135"/>
      <c r="F31" s="135"/>
      <c r="G31" s="135"/>
      <c r="H31" s="135"/>
      <c r="I31" s="135"/>
      <c r="J31" s="515" t="s">
        <v>13</v>
      </c>
      <c r="K31" s="516"/>
      <c r="L31" s="143">
        <f>SUM(L18:L30)</f>
        <v>76</v>
      </c>
      <c r="M31" s="63">
        <f>SUM(P18:P30)</f>
        <v>36</v>
      </c>
      <c r="N31" s="133">
        <f>M31/L31</f>
        <v>0.47368421052631576</v>
      </c>
      <c r="Q31" s="133"/>
    </row>
    <row r="32" spans="1:18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L34</f>
        <v>6.2752293577981648</v>
      </c>
      <c r="M32" s="63"/>
    </row>
    <row r="33" spans="2:17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91" t="s">
        <v>19</v>
      </c>
      <c r="K33" s="492"/>
      <c r="L33" s="41">
        <f>L31/109*100</f>
        <v>69.724770642201833</v>
      </c>
    </row>
    <row r="34" spans="2:17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6.2752293577981648</v>
      </c>
    </row>
    <row r="35" spans="2:17" ht="20.149999999999999" customHeight="1" thickBot="1" x14ac:dyDescent="0.5">
      <c r="B35" s="10" t="s">
        <v>676</v>
      </c>
      <c r="C35" s="6"/>
      <c r="D35" s="6"/>
      <c r="E35" s="6"/>
      <c r="F35" s="6"/>
      <c r="G35" s="6"/>
      <c r="H35" s="6"/>
      <c r="I35" s="6"/>
      <c r="J35" s="485" t="s">
        <v>21</v>
      </c>
      <c r="K35" s="486"/>
      <c r="L35" s="43">
        <f>L33+L34</f>
        <v>76</v>
      </c>
    </row>
    <row r="36" spans="2:17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7" ht="18" customHeight="1" x14ac:dyDescent="0.45">
      <c r="B37" s="144" t="s">
        <v>666</v>
      </c>
      <c r="L37" s="37"/>
    </row>
    <row r="38" spans="2:17" ht="18" customHeight="1" x14ac:dyDescent="0.45">
      <c r="B38" s="36"/>
      <c r="L38" s="37"/>
      <c r="N38" s="176">
        <v>44641</v>
      </c>
      <c r="O38" s="19">
        <v>287.5</v>
      </c>
      <c r="P38" s="19">
        <v>54.36</v>
      </c>
      <c r="Q38" s="133">
        <f>P38/O38</f>
        <v>0.18907826086956522</v>
      </c>
    </row>
    <row r="39" spans="2:17" ht="18" customHeight="1" x14ac:dyDescent="0.45">
      <c r="B39" s="36"/>
      <c r="L39" s="37"/>
      <c r="N39" s="176"/>
      <c r="Q39" s="133"/>
    </row>
    <row r="40" spans="2:17" ht="18" customHeight="1" x14ac:dyDescent="0.45">
      <c r="B40" s="36"/>
      <c r="L40" s="37"/>
      <c r="N40" s="176"/>
      <c r="Q40" s="133"/>
    </row>
    <row r="41" spans="2:17" ht="18" customHeight="1" x14ac:dyDescent="0.45">
      <c r="B41" s="36"/>
      <c r="L41" s="37"/>
      <c r="N41" s="176"/>
      <c r="Q41" s="133"/>
    </row>
    <row r="42" spans="2:17" ht="18" customHeight="1" x14ac:dyDescent="0.45">
      <c r="B42" s="44"/>
      <c r="C42" s="45"/>
      <c r="D42" s="45"/>
      <c r="J42" s="45"/>
      <c r="K42" s="45"/>
      <c r="L42" s="46"/>
    </row>
    <row r="43" spans="2:17" ht="20.149999999999999" customHeight="1" x14ac:dyDescent="0.45">
      <c r="B43" s="36" t="s">
        <v>25</v>
      </c>
      <c r="J43" s="19" t="s">
        <v>26</v>
      </c>
      <c r="L43" s="37"/>
    </row>
    <row r="44" spans="2:17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  <row r="45" spans="2:17" ht="20.5" x14ac:dyDescent="0.45">
      <c r="F45" s="201"/>
    </row>
  </sheetData>
  <mergeCells count="4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2:F22"/>
    <mergeCell ref="I22:J22"/>
    <mergeCell ref="D19:F19"/>
    <mergeCell ref="I19:J19"/>
    <mergeCell ref="D20:F20"/>
    <mergeCell ref="I20:J20"/>
    <mergeCell ref="D21:F21"/>
    <mergeCell ref="I21:J21"/>
    <mergeCell ref="D18:F18"/>
    <mergeCell ref="I18:J18"/>
    <mergeCell ref="D17:F17"/>
    <mergeCell ref="D23:F23"/>
    <mergeCell ref="I23:J23"/>
    <mergeCell ref="D24:F24"/>
    <mergeCell ref="I24:J24"/>
    <mergeCell ref="D25:F25"/>
    <mergeCell ref="I25:J25"/>
    <mergeCell ref="I29:J29"/>
    <mergeCell ref="J31:K31"/>
    <mergeCell ref="J33:K33"/>
    <mergeCell ref="J35:K35"/>
    <mergeCell ref="D26:F26"/>
    <mergeCell ref="I26:J26"/>
    <mergeCell ref="D27:F27"/>
    <mergeCell ref="I27:J27"/>
    <mergeCell ref="D28:F28"/>
    <mergeCell ref="I28:J28"/>
  </mergeCells>
  <pageMargins left="0.70866141732283472" right="0.31496062992125984" top="0.23622047244094491" bottom="0.23622047244094491" header="0.31496062992125984" footer="0.31496062992125984"/>
  <pageSetup paperSize="9" scale="72" orientation="portrait" horizontalDpi="300" verticalDpi="300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95127-0785-497D-AFDB-85E9B7A25B5F}">
  <sheetPr codeName="Sheet88">
    <tabColor rgb="FFFFC000"/>
    <pageSetUpPr fitToPage="1"/>
  </sheetPr>
  <dimension ref="B1:R48"/>
  <sheetViews>
    <sheetView topLeftCell="A12" zoomScaleNormal="100" workbookViewId="0">
      <selection activeCell="K38" sqref="K38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2695312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7.17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653</v>
      </c>
      <c r="J10" s="24" t="s">
        <v>27</v>
      </c>
      <c r="K10" s="464">
        <v>202308557</v>
      </c>
      <c r="L10" s="465"/>
    </row>
    <row r="11" spans="2:12" ht="20.149999999999999" customHeight="1" x14ac:dyDescent="0.45">
      <c r="B11" s="466" t="s">
        <v>1729</v>
      </c>
      <c r="C11" s="467"/>
      <c r="D11" s="468"/>
      <c r="E11" s="25"/>
      <c r="F11" s="469" t="str">
        <f>VLOOKUP(H10,'Delivery Location'!A$4:N$466,2,0)</f>
        <v>Sugary Empire Pte Ltd                                                                                        824 Tampines St 81 #01-38 Singapore</v>
      </c>
      <c r="G11" s="470"/>
      <c r="H11" s="471"/>
      <c r="J11" s="26" t="s">
        <v>9</v>
      </c>
      <c r="K11" s="478">
        <v>45161</v>
      </c>
      <c r="L11" s="479"/>
    </row>
    <row r="12" spans="2:12" ht="20.149999999999999" customHeight="1" x14ac:dyDescent="0.45">
      <c r="B12" s="480" t="s">
        <v>1730</v>
      </c>
      <c r="C12" s="453"/>
      <c r="D12" s="481"/>
      <c r="E12" s="25"/>
      <c r="F12" s="472"/>
      <c r="G12" s="473"/>
      <c r="H12" s="474"/>
      <c r="J12" s="26" t="s">
        <v>127</v>
      </c>
      <c r="K12" s="579" t="s">
        <v>34</v>
      </c>
      <c r="L12" s="580"/>
    </row>
    <row r="13" spans="2:12" ht="20.149999999999999" customHeight="1" x14ac:dyDescent="0.45">
      <c r="B13" s="480" t="s">
        <v>1731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451</v>
      </c>
      <c r="L13" s="483"/>
    </row>
    <row r="14" spans="2:12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18"/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8" ht="20.149999999999999" customHeight="1" x14ac:dyDescent="0.45">
      <c r="B18" s="243"/>
      <c r="C18" s="212" t="s">
        <v>721</v>
      </c>
      <c r="D18" s="556" t="str">
        <f>VLOOKUP(C18,'Sales Master'!B$3:D$537,2,)</f>
        <v>RICE BALL (WHITE - RED BEAN 红豆)</v>
      </c>
      <c r="E18" s="556"/>
      <c r="F18" s="556"/>
      <c r="G18" s="76">
        <v>5</v>
      </c>
      <c r="H18" s="183" t="str">
        <f>VLOOKUP(C18,'Sales Master'!$B$3:$F$2420,5,0)</f>
        <v>15 PCS/ Pkt包</v>
      </c>
      <c r="I18" s="513" t="str">
        <f>VLOOKUP(C18,'Sales Master'!$B$3:$E$2420,4,0)</f>
        <v>TYC</v>
      </c>
      <c r="J18" s="513"/>
      <c r="K18" s="83">
        <f>VLOOKUP(C18,'Sales Master'!$B$3:$V$3009,21,0)</f>
        <v>0</v>
      </c>
      <c r="L18" s="84">
        <f>K18*G18</f>
        <v>0</v>
      </c>
      <c r="M18" s="65"/>
      <c r="N18" s="145">
        <f>VLOOKUP(C18,'Sales Master'!$B$3:$DA$2279,104,0)</f>
        <v>1.92</v>
      </c>
      <c r="O18" s="145">
        <f>K18-N18</f>
        <v>-1.92</v>
      </c>
      <c r="P18" s="145">
        <f>O18*G18</f>
        <v>-9.6</v>
      </c>
      <c r="R18" s="63">
        <f>N18*G18*0.07</f>
        <v>0.67200000000000004</v>
      </c>
    </row>
    <row r="19" spans="2:18" ht="20.149999999999999" customHeight="1" x14ac:dyDescent="0.45">
      <c r="B19" s="243"/>
      <c r="C19" s="212" t="s">
        <v>1109</v>
      </c>
      <c r="D19" s="487" t="str">
        <f>VLOOKUP(C19,'Sales Master'!B$3:D$537,2,)</f>
        <v>Cold Bean Curd Powder 豆花粉</v>
      </c>
      <c r="E19" s="487"/>
      <c r="F19" s="487"/>
      <c r="G19" s="76">
        <v>1</v>
      </c>
      <c r="H19" s="183" t="str">
        <f>VLOOKUP(C19,'Sales Master'!$B$3:$F$2420,5,0)</f>
        <v>1 KG</v>
      </c>
      <c r="I19" s="513" t="str">
        <f>VLOOKUP(C19,'Sales Master'!$B$3:$E$2420,4,0)</f>
        <v>TOP</v>
      </c>
      <c r="J19" s="513"/>
      <c r="K19" s="83">
        <f>VLOOKUP(C19,'Sales Master'!$B$3:$V$3009,21,0)</f>
        <v>0</v>
      </c>
      <c r="L19" s="84">
        <f>K19*G19</f>
        <v>0</v>
      </c>
      <c r="M19" s="65"/>
      <c r="N19" s="145">
        <f>VLOOKUP(C19,'Sales Master'!$B$3:$DA$2279,104,0)</f>
        <v>12</v>
      </c>
      <c r="O19" s="145">
        <f>K19-N19</f>
        <v>-12</v>
      </c>
      <c r="P19" s="145">
        <f>O19*G19</f>
        <v>-12</v>
      </c>
      <c r="R19" s="63"/>
    </row>
    <row r="20" spans="2:18" ht="19.5" customHeight="1" x14ac:dyDescent="0.45">
      <c r="B20" s="243"/>
      <c r="C20" s="212" t="s">
        <v>798</v>
      </c>
      <c r="D20" s="524" t="str">
        <f>VLOOKUP(C20,'Sales Master'!B$3:D$537,2,)</f>
        <v>Red Tea Jelly Powder 红茶果冻粉</v>
      </c>
      <c r="E20" s="524"/>
      <c r="F20" s="524"/>
      <c r="G20" s="76">
        <v>1</v>
      </c>
      <c r="H20" s="183" t="str">
        <f>VLOOKUP(C20,'Sales Master'!$B$3:$F$2420,5,0)</f>
        <v>1 KG</v>
      </c>
      <c r="I20" s="513" t="str">
        <f>VLOOKUP(C20,'Sales Master'!$B$3:$E$2420,4,0)</f>
        <v>TAIWAN</v>
      </c>
      <c r="J20" s="513"/>
      <c r="K20" s="83">
        <f>VLOOKUP(C20,'Sales Master'!$B$3:$V$3009,21,0)</f>
        <v>15</v>
      </c>
      <c r="L20" s="84">
        <f>K20*G20</f>
        <v>15</v>
      </c>
      <c r="M20" s="65"/>
      <c r="N20" s="145">
        <f>VLOOKUP(C20,'Sales Master'!$B$3:$DA$2279,104,0)</f>
        <v>11.8</v>
      </c>
      <c r="O20" s="145">
        <f>K20-N20</f>
        <v>3.1999999999999993</v>
      </c>
      <c r="P20" s="145">
        <f>O20*G20</f>
        <v>3.1999999999999993</v>
      </c>
      <c r="R20" s="63"/>
    </row>
    <row r="21" spans="2:18" ht="20.149999999999999" customHeight="1" x14ac:dyDescent="0.45">
      <c r="B21" s="243"/>
      <c r="C21" s="212"/>
      <c r="D21" s="487"/>
      <c r="E21" s="487"/>
      <c r="F21" s="487"/>
      <c r="G21" s="76"/>
      <c r="H21" s="183"/>
      <c r="I21" s="513"/>
      <c r="J21" s="513"/>
      <c r="K21" s="83"/>
      <c r="L21" s="84"/>
      <c r="M21" s="65"/>
      <c r="N21" s="145"/>
      <c r="O21" s="145"/>
      <c r="P21" s="145"/>
      <c r="R21" s="63"/>
    </row>
    <row r="22" spans="2:18" ht="20.149999999999999" customHeight="1" x14ac:dyDescent="0.45">
      <c r="B22" s="243"/>
      <c r="C22" s="212"/>
      <c r="D22" s="487"/>
      <c r="E22" s="487"/>
      <c r="F22" s="487"/>
      <c r="G22" s="76"/>
      <c r="H22" s="183"/>
      <c r="I22" s="513"/>
      <c r="J22" s="513"/>
      <c r="K22" s="83"/>
      <c r="L22" s="84"/>
      <c r="M22" s="65"/>
      <c r="N22" s="145"/>
      <c r="O22" s="145"/>
      <c r="P22" s="145"/>
      <c r="R22" s="63"/>
    </row>
    <row r="23" spans="2:18" ht="20.149999999999999" customHeight="1" x14ac:dyDescent="0.45">
      <c r="B23" s="243"/>
      <c r="C23" s="212"/>
      <c r="D23" s="487"/>
      <c r="E23" s="487"/>
      <c r="F23" s="487"/>
      <c r="G23" s="76"/>
      <c r="H23" s="183"/>
      <c r="I23" s="513"/>
      <c r="J23" s="513"/>
      <c r="K23" s="83"/>
      <c r="L23" s="84"/>
      <c r="M23" s="65"/>
      <c r="N23" s="145"/>
      <c r="O23" s="145"/>
      <c r="P23" s="145"/>
      <c r="R23" s="63"/>
    </row>
    <row r="24" spans="2:18" ht="20.149999999999999" customHeight="1" x14ac:dyDescent="0.45">
      <c r="B24" s="243"/>
      <c r="C24" s="212"/>
      <c r="D24" s="487"/>
      <c r="E24" s="487"/>
      <c r="F24" s="487"/>
      <c r="G24" s="76"/>
      <c r="H24" s="183"/>
      <c r="I24" s="513"/>
      <c r="J24" s="513"/>
      <c r="K24" s="83"/>
      <c r="L24" s="84"/>
      <c r="M24" s="65"/>
      <c r="N24" s="145"/>
      <c r="O24" s="145"/>
      <c r="P24" s="145"/>
      <c r="R24" s="63"/>
    </row>
    <row r="25" spans="2:18" ht="20.149999999999999" customHeight="1" x14ac:dyDescent="0.45">
      <c r="B25" s="243"/>
      <c r="C25" s="212"/>
      <c r="D25" s="487"/>
      <c r="E25" s="487"/>
      <c r="F25" s="487"/>
      <c r="G25" s="76"/>
      <c r="H25" s="183"/>
      <c r="I25" s="513"/>
      <c r="J25" s="513"/>
      <c r="K25" s="83"/>
      <c r="L25" s="84"/>
      <c r="M25" s="65"/>
      <c r="N25" s="145"/>
      <c r="O25" s="145"/>
      <c r="P25" s="145"/>
      <c r="R25" s="63"/>
    </row>
    <row r="26" spans="2:18" ht="20.149999999999999" customHeight="1" x14ac:dyDescent="0.45">
      <c r="B26" s="243"/>
      <c r="C26" s="212"/>
      <c r="D26" s="487"/>
      <c r="E26" s="487"/>
      <c r="F26" s="487"/>
      <c r="G26" s="76"/>
      <c r="H26" s="183"/>
      <c r="I26" s="513"/>
      <c r="J26" s="513"/>
      <c r="K26" s="83"/>
      <c r="L26" s="84"/>
      <c r="M26" s="65"/>
      <c r="N26" s="145"/>
      <c r="O26" s="145"/>
      <c r="P26" s="145"/>
      <c r="R26" s="63"/>
    </row>
    <row r="27" spans="2:18" ht="20.149999999999999" customHeight="1" x14ac:dyDescent="0.45">
      <c r="B27" s="243"/>
      <c r="C27" s="212"/>
      <c r="D27" s="487"/>
      <c r="E27" s="487"/>
      <c r="F27" s="487"/>
      <c r="G27" s="76"/>
      <c r="H27" s="183"/>
      <c r="I27" s="513"/>
      <c r="J27" s="513"/>
      <c r="K27" s="83"/>
      <c r="L27" s="84"/>
      <c r="M27" s="65"/>
      <c r="N27" s="145"/>
      <c r="O27" s="145"/>
      <c r="P27" s="145"/>
      <c r="R27" s="63"/>
    </row>
    <row r="28" spans="2:18" ht="20.149999999999999" customHeight="1" x14ac:dyDescent="0.45">
      <c r="B28" s="243"/>
      <c r="C28" s="212"/>
      <c r="D28" s="487"/>
      <c r="E28" s="487"/>
      <c r="F28" s="487"/>
      <c r="G28" s="76"/>
      <c r="H28" s="183"/>
      <c r="I28" s="513"/>
      <c r="J28" s="513"/>
      <c r="K28" s="83"/>
      <c r="L28" s="84"/>
      <c r="M28" s="65"/>
      <c r="N28" s="145"/>
      <c r="O28" s="145"/>
      <c r="P28" s="145"/>
      <c r="R28" s="63"/>
    </row>
    <row r="29" spans="2:18" ht="20.149999999999999" customHeight="1" x14ac:dyDescent="0.45">
      <c r="B29" s="243"/>
      <c r="C29" s="212"/>
      <c r="D29" s="487"/>
      <c r="E29" s="487"/>
      <c r="F29" s="487"/>
      <c r="G29" s="76"/>
      <c r="H29" s="183"/>
      <c r="I29" s="513"/>
      <c r="J29" s="513"/>
      <c r="K29" s="83"/>
      <c r="L29" s="84"/>
      <c r="M29" s="65"/>
      <c r="N29" s="145"/>
      <c r="O29" s="145"/>
      <c r="P29" s="145"/>
      <c r="R29" s="63"/>
    </row>
    <row r="30" spans="2:18" ht="20.149999999999999" customHeight="1" x14ac:dyDescent="0.45">
      <c r="B30" s="243"/>
      <c r="C30" s="212"/>
      <c r="D30" s="487"/>
      <c r="E30" s="487"/>
      <c r="F30" s="487"/>
      <c r="G30" s="76"/>
      <c r="H30" s="183"/>
      <c r="I30" s="513"/>
      <c r="J30" s="513"/>
      <c r="K30" s="83"/>
      <c r="L30" s="84"/>
      <c r="M30" s="65"/>
      <c r="N30" s="145"/>
      <c r="O30" s="145"/>
      <c r="P30" s="145"/>
      <c r="R30" s="63"/>
    </row>
    <row r="31" spans="2:18" ht="20.149999999999999" customHeight="1" x14ac:dyDescent="0.45">
      <c r="B31" s="243"/>
      <c r="C31" s="212"/>
      <c r="D31" s="487"/>
      <c r="E31" s="487"/>
      <c r="F31" s="487"/>
      <c r="G31" s="76"/>
      <c r="H31" s="183"/>
      <c r="I31" s="513"/>
      <c r="J31" s="513"/>
      <c r="K31" s="83"/>
      <c r="L31" s="84"/>
      <c r="M31" s="65"/>
      <c r="N31" s="145"/>
      <c r="O31" s="145"/>
      <c r="P31" s="145"/>
      <c r="R31" s="63"/>
    </row>
    <row r="32" spans="2:18" ht="20.149999999999999" customHeight="1" x14ac:dyDescent="0.45">
      <c r="B32" s="243"/>
      <c r="C32" s="212"/>
      <c r="D32" s="487"/>
      <c r="E32" s="487"/>
      <c r="F32" s="487"/>
      <c r="G32" s="76"/>
      <c r="H32" s="183"/>
      <c r="I32" s="513"/>
      <c r="J32" s="513"/>
      <c r="K32" s="83"/>
      <c r="L32" s="84"/>
      <c r="M32" s="65"/>
      <c r="N32" s="145"/>
      <c r="O32" s="145"/>
      <c r="P32" s="145"/>
      <c r="R32" s="63"/>
    </row>
    <row r="33" spans="2:18" ht="20.149999999999999" customHeight="1" x14ac:dyDescent="0.45">
      <c r="B33" s="243"/>
      <c r="C33" s="212"/>
      <c r="D33" s="487"/>
      <c r="E33" s="487"/>
      <c r="F33" s="487"/>
      <c r="G33" s="76"/>
      <c r="H33" s="183"/>
      <c r="I33" s="513"/>
      <c r="J33" s="513"/>
      <c r="K33" s="83"/>
      <c r="L33" s="84"/>
      <c r="M33" s="65"/>
      <c r="N33" s="145"/>
      <c r="O33" s="145"/>
      <c r="P33" s="145"/>
      <c r="R33" s="63"/>
    </row>
    <row r="34" spans="2:18" ht="20.149999999999999" customHeight="1" x14ac:dyDescent="0.45">
      <c r="B34" s="122"/>
      <c r="C34" s="45"/>
      <c r="D34" s="45"/>
      <c r="E34" s="45"/>
      <c r="F34" s="45"/>
      <c r="G34" s="97"/>
      <c r="H34" s="124"/>
      <c r="I34" s="89"/>
      <c r="J34" s="89"/>
      <c r="K34" s="95"/>
      <c r="L34" s="98"/>
    </row>
    <row r="35" spans="2:18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550" t="s">
        <v>13</v>
      </c>
      <c r="K35" s="551"/>
      <c r="L35" s="121">
        <f>SUM(L18:L34)</f>
        <v>15</v>
      </c>
      <c r="M35" s="63">
        <f>SUM(P18:P34)</f>
        <v>-18.400000000000002</v>
      </c>
      <c r="N35" s="133">
        <f>M35/L35</f>
        <v>-1.2266666666666668</v>
      </c>
      <c r="Q35" s="133"/>
    </row>
    <row r="36" spans="2:18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  <c r="M36" s="63"/>
    </row>
    <row r="37" spans="2:18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91" t="s">
        <v>19</v>
      </c>
      <c r="K37" s="492"/>
      <c r="L37" s="41">
        <f>L35-L36</f>
        <v>15</v>
      </c>
    </row>
    <row r="38" spans="2:18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1.3499999999999999</v>
      </c>
    </row>
    <row r="39" spans="2:18" ht="20.149999999999999" customHeight="1" thickBot="1" x14ac:dyDescent="0.5">
      <c r="B39" s="10" t="s">
        <v>676</v>
      </c>
      <c r="C39" s="6"/>
      <c r="D39" s="6"/>
      <c r="E39" s="6"/>
      <c r="F39" s="6"/>
      <c r="G39" s="6"/>
      <c r="H39" s="6"/>
      <c r="I39" s="6"/>
      <c r="J39" s="485" t="s">
        <v>21</v>
      </c>
      <c r="K39" s="486"/>
      <c r="L39" s="43">
        <f>L37+L38</f>
        <v>16.350000000000001</v>
      </c>
    </row>
    <row r="40" spans="2:18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  <c r="N40" s="173">
        <v>44641</v>
      </c>
      <c r="O40" s="19">
        <v>196.3</v>
      </c>
      <c r="P40" s="19">
        <v>40.590000000000003</v>
      </c>
      <c r="Q40" s="133">
        <f>P40/O40</f>
        <v>0.20677534386143659</v>
      </c>
    </row>
    <row r="41" spans="2:18" ht="20.149999999999999" customHeight="1" x14ac:dyDescent="0.45">
      <c r="B41" s="144" t="s">
        <v>666</v>
      </c>
      <c r="L41" s="37"/>
    </row>
    <row r="42" spans="2:18" ht="20.149999999999999" customHeight="1" x14ac:dyDescent="0.45">
      <c r="B42" s="36"/>
      <c r="L42" s="37"/>
    </row>
    <row r="43" spans="2:18" ht="20.149999999999999" customHeight="1" x14ac:dyDescent="0.45">
      <c r="B43" s="36"/>
      <c r="L43" s="37"/>
    </row>
    <row r="44" spans="2:18" ht="20.149999999999999" customHeight="1" x14ac:dyDescent="0.45">
      <c r="B44" s="36"/>
      <c r="L44" s="37"/>
    </row>
    <row r="45" spans="2:18" ht="20.149999999999999" customHeight="1" x14ac:dyDescent="0.45">
      <c r="B45" s="44"/>
      <c r="C45" s="45"/>
      <c r="D45" s="45"/>
      <c r="J45" s="45"/>
      <c r="K45" s="45"/>
      <c r="L45" s="46"/>
    </row>
    <row r="46" spans="2:18" ht="20.149999999999999" customHeight="1" x14ac:dyDescent="0.45">
      <c r="B46" s="36" t="s">
        <v>25</v>
      </c>
      <c r="J46" s="19" t="s">
        <v>26</v>
      </c>
      <c r="L46" s="37"/>
    </row>
    <row r="47" spans="2:18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  <row r="48" spans="2:18" ht="20.5" x14ac:dyDescent="0.45">
      <c r="F48" s="201"/>
    </row>
  </sheetData>
  <mergeCells count="5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31:F31"/>
    <mergeCell ref="I31:J31"/>
    <mergeCell ref="D32:F32"/>
    <mergeCell ref="I32:J32"/>
    <mergeCell ref="D28:F28"/>
    <mergeCell ref="I28:J28"/>
    <mergeCell ref="D29:F29"/>
    <mergeCell ref="I29:J29"/>
    <mergeCell ref="D30:F30"/>
    <mergeCell ref="I30:J30"/>
    <mergeCell ref="J35:K35"/>
    <mergeCell ref="J37:K37"/>
    <mergeCell ref="J39:K39"/>
    <mergeCell ref="D33:F33"/>
    <mergeCell ref="I33:J33"/>
  </mergeCells>
  <pageMargins left="0.70866141732283472" right="0.31496062992125984" top="0.23622047244094491" bottom="0.23622047244094491" header="0.31496062992125984" footer="0.31496062992125984"/>
  <pageSetup paperSize="9" scale="73" orientation="portrait" horizontalDpi="300" verticalDpi="300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2EC55-E24A-442B-B8FE-8DBD8E6C540C}">
  <sheetPr codeName="Sheet47">
    <tabColor theme="7"/>
    <pageSetUpPr fitToPage="1"/>
  </sheetPr>
  <dimension ref="B1:R47"/>
  <sheetViews>
    <sheetView topLeftCell="B15" zoomScaleNormal="100" workbookViewId="0">
      <selection activeCell="B1" sqref="B1:L4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8.269531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664</v>
      </c>
      <c r="J10" s="24" t="s">
        <v>27</v>
      </c>
      <c r="K10" s="464">
        <v>202501183</v>
      </c>
      <c r="L10" s="465"/>
    </row>
    <row r="11" spans="2:14" ht="20.149999999999999" customHeight="1" x14ac:dyDescent="0.45">
      <c r="B11" s="466"/>
      <c r="C11" s="467"/>
      <c r="D11" s="468"/>
      <c r="E11" s="25"/>
      <c r="F11" s="469" t="str">
        <f>VLOOKUP(H10,'Delivery Location'!A$4:N$466,2,0)</f>
        <v>Cafe 107 Pte Ltd                                                                             107 Serangoon North Ave 1, #01-671 Singapore 550107.</v>
      </c>
      <c r="G11" s="470"/>
      <c r="H11" s="471"/>
      <c r="J11" s="26" t="s">
        <v>9</v>
      </c>
      <c r="K11" s="478">
        <v>45665</v>
      </c>
      <c r="L11" s="479"/>
    </row>
    <row r="12" spans="2:14" ht="20.149999999999999" customHeight="1" x14ac:dyDescent="0.45">
      <c r="B12" s="480"/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4" ht="20.149999999999999" customHeight="1" x14ac:dyDescent="0.45">
      <c r="B13" s="480"/>
      <c r="C13" s="453"/>
      <c r="D13" s="481"/>
      <c r="E13" s="25"/>
      <c r="F13" s="472"/>
      <c r="G13" s="473"/>
      <c r="H13" s="474"/>
      <c r="J13" s="26" t="s">
        <v>10</v>
      </c>
      <c r="K13" s="482" t="s">
        <v>421</v>
      </c>
      <c r="L13" s="483"/>
    </row>
    <row r="14" spans="2:14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  <c r="N14" s="149" t="s">
        <v>1065</v>
      </c>
    </row>
    <row r="15" spans="2:14" ht="18" customHeight="1" thickBot="1" x14ac:dyDescent="0.5">
      <c r="B15" s="508"/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8" ht="20.149999999999999" customHeight="1" x14ac:dyDescent="0.45">
      <c r="B18" s="58"/>
      <c r="C18" s="212" t="s">
        <v>2167</v>
      </c>
      <c r="D18" s="487" t="str">
        <f>VLOOKUP(C18,'Sales Master'!B$3:D$537,2,)</f>
        <v>Coconut Sugar Syrup 椰糖浆</v>
      </c>
      <c r="E18" s="487"/>
      <c r="F18" s="487"/>
      <c r="G18" s="76">
        <v>2</v>
      </c>
      <c r="H18" s="186" t="str">
        <f>VLOOKUP(C18,'Sales Master'!$B$3:$F$2420,5,0)</f>
        <v>GW: 5 KG/ Btl支</v>
      </c>
      <c r="I18" s="484" t="str">
        <f>VLOOKUP(C18,'Sales Master'!$B$3:$E$2420,4,0)</f>
        <v>DO!</v>
      </c>
      <c r="J18" s="484"/>
      <c r="K18" s="83">
        <f>VLOOKUP(C18,'Sales Master'!$B$4:$BU$2440,72,0)</f>
        <v>0</v>
      </c>
      <c r="L18" s="84">
        <f>K18*G18</f>
        <v>0</v>
      </c>
      <c r="M18" s="65"/>
      <c r="N18" s="145">
        <f>VLOOKUP(C18,'Sales Master'!$B$3:$DA$2279,104,0)</f>
        <v>0</v>
      </c>
      <c r="O18" s="145">
        <f>K18-N18</f>
        <v>0</v>
      </c>
      <c r="P18" s="145">
        <f>O18*G18</f>
        <v>0</v>
      </c>
      <c r="R18" s="151">
        <v>1</v>
      </c>
    </row>
    <row r="19" spans="2:18" ht="20.149999999999999" customHeight="1" x14ac:dyDescent="0.45">
      <c r="B19" s="58"/>
      <c r="C19" s="212" t="s">
        <v>807</v>
      </c>
      <c r="D19" s="487" t="str">
        <f>VLOOKUP(C19,'Sales Master'!B$3:D$537,2,)</f>
        <v>Chin Chow  仙草</v>
      </c>
      <c r="E19" s="487"/>
      <c r="F19" s="487"/>
      <c r="G19" s="76">
        <v>3</v>
      </c>
      <c r="H19" s="186" t="str">
        <f>VLOOKUP(C19,'Sales Master'!$B$3:$F$2420,5,0)</f>
        <v>4 KG/ Pkt包</v>
      </c>
      <c r="I19" s="484" t="str">
        <f>VLOOKUP(C19,'Sales Master'!$B$3:$E$2420,4,0)</f>
        <v>TSM</v>
      </c>
      <c r="J19" s="484"/>
      <c r="K19" s="83">
        <f>VLOOKUP(C19,'Sales Master'!$B$4:$BU$2440,72,0)</f>
        <v>6.5</v>
      </c>
      <c r="L19" s="84">
        <f t="shared" ref="L19" si="0">K19*G19</f>
        <v>19.5</v>
      </c>
      <c r="M19" s="65"/>
      <c r="N19" s="145">
        <f>VLOOKUP(C19,'Sales Master'!$B$3:$DA$2279,104,0)</f>
        <v>4</v>
      </c>
      <c r="O19" s="145">
        <f t="shared" ref="O19" si="1">K19-N19</f>
        <v>2.5</v>
      </c>
      <c r="P19" s="145">
        <f t="shared" ref="P19" si="2">O19*G19</f>
        <v>7.5</v>
      </c>
      <c r="R19" s="76"/>
    </row>
    <row r="20" spans="2:18" ht="20.149999999999999" customHeight="1" x14ac:dyDescent="0.45">
      <c r="B20" s="58"/>
      <c r="C20" s="212" t="s">
        <v>1139</v>
      </c>
      <c r="D20" s="487" t="str">
        <f>VLOOKUP(C20,'Sales Master'!B$3:D$537,2,)</f>
        <v>Honey Pearl - Black 蜜糖珍珠</v>
      </c>
      <c r="E20" s="487"/>
      <c r="F20" s="487"/>
      <c r="G20" s="76">
        <v>1</v>
      </c>
      <c r="H20" s="186" t="str">
        <f>VLOOKUP(C20,'Sales Master'!$B$3:$F$2420,5,0)</f>
        <v>3 kgs</v>
      </c>
      <c r="I20" s="484" t="str">
        <f>VLOOKUP(C20,'Sales Master'!$B$3:$E$2420,4,0)</f>
        <v>7 MM</v>
      </c>
      <c r="J20" s="484"/>
      <c r="K20" s="83">
        <f>VLOOKUP(C20,'Sales Master'!$B$4:$BU$2440,72,0)</f>
        <v>9.5</v>
      </c>
      <c r="L20" s="84">
        <f t="shared" ref="L20" si="3">K20*G20</f>
        <v>9.5</v>
      </c>
      <c r="M20" s="65"/>
      <c r="N20" s="145">
        <f>VLOOKUP(C20,'Sales Master'!$B$3:$DA$2279,104,0)</f>
        <v>7.2</v>
      </c>
      <c r="O20" s="145">
        <f t="shared" ref="O20" si="4">K20-N20</f>
        <v>2.2999999999999998</v>
      </c>
      <c r="P20" s="145">
        <f t="shared" ref="P20" si="5">O20*G20</f>
        <v>2.2999999999999998</v>
      </c>
    </row>
    <row r="21" spans="2:18" ht="20.149999999999999" customHeight="1" x14ac:dyDescent="0.45">
      <c r="B21" s="58"/>
      <c r="C21" s="212" t="s">
        <v>990</v>
      </c>
      <c r="D21" s="487" t="str">
        <f>VLOOKUP(C21,'Sales Master'!B$3:D$537,2,)</f>
        <v>Fine Sugar 白糖</v>
      </c>
      <c r="E21" s="487"/>
      <c r="F21" s="487"/>
      <c r="G21" s="76">
        <v>2</v>
      </c>
      <c r="H21" s="186" t="str">
        <f>VLOOKUP(C21,'Sales Master'!$B$3:$F$2420,5,0)</f>
        <v>25 KGS</v>
      </c>
      <c r="I21" s="484" t="str">
        <f>VLOOKUP(C21,'Sales Master'!$B$3:$E$2420,4,0)</f>
        <v>MITR PHOL/ 蜜朋</v>
      </c>
      <c r="J21" s="484"/>
      <c r="K21" s="83">
        <f>VLOOKUP(C21,'Sales Master'!$B$4:$BU$2440,72,0)</f>
        <v>32</v>
      </c>
      <c r="L21" s="84">
        <f t="shared" ref="L21" si="6">K21*G21</f>
        <v>64</v>
      </c>
      <c r="M21" s="65"/>
      <c r="N21" s="145">
        <f>VLOOKUP(C21,'Sales Master'!$B$3:$DA$2279,104,0)</f>
        <v>24.5</v>
      </c>
      <c r="O21" s="145">
        <f t="shared" ref="O21" si="7">K21-N21</f>
        <v>7.5</v>
      </c>
      <c r="P21" s="145">
        <f t="shared" ref="P21" si="8">O21*G21</f>
        <v>15</v>
      </c>
      <c r="R21" s="76"/>
    </row>
    <row r="22" spans="2:18" ht="20.149999999999999" customHeight="1" x14ac:dyDescent="0.45">
      <c r="B22" s="58"/>
      <c r="C22" s="212"/>
      <c r="D22" s="487"/>
      <c r="E22" s="487"/>
      <c r="F22" s="487"/>
      <c r="G22" s="76"/>
      <c r="H22" s="186"/>
      <c r="I22" s="484"/>
      <c r="J22" s="484"/>
      <c r="K22" s="83"/>
      <c r="L22" s="84"/>
      <c r="M22" s="65"/>
      <c r="N22" s="145"/>
      <c r="O22" s="145"/>
      <c r="P22" s="145"/>
      <c r="R22" s="76"/>
    </row>
    <row r="23" spans="2:18" ht="20.149999999999999" customHeight="1" x14ac:dyDescent="0.45">
      <c r="B23" s="58"/>
      <c r="C23" s="212"/>
      <c r="D23" s="487"/>
      <c r="E23" s="487"/>
      <c r="F23" s="487"/>
      <c r="G23" s="76"/>
      <c r="H23" s="186"/>
      <c r="I23" s="484"/>
      <c r="J23" s="484"/>
      <c r="K23" s="83"/>
      <c r="L23" s="84"/>
      <c r="M23" s="65"/>
      <c r="N23" s="145"/>
      <c r="O23" s="145"/>
      <c r="P23" s="145"/>
      <c r="R23" s="76"/>
    </row>
    <row r="24" spans="2:18" ht="20.149999999999999" customHeight="1" x14ac:dyDescent="0.45">
      <c r="B24" s="58"/>
      <c r="C24" s="212"/>
      <c r="D24" s="493"/>
      <c r="E24" s="493"/>
      <c r="F24" s="493"/>
      <c r="G24" s="76"/>
      <c r="H24" s="196"/>
      <c r="I24" s="513"/>
      <c r="J24" s="513"/>
      <c r="K24" s="190"/>
      <c r="L24" s="84"/>
      <c r="M24" s="65"/>
      <c r="N24" s="145"/>
      <c r="O24" s="145"/>
      <c r="P24" s="145"/>
    </row>
    <row r="25" spans="2:18" ht="20.149999999999999" customHeight="1" x14ac:dyDescent="0.45">
      <c r="B25" s="58"/>
      <c r="C25" s="212"/>
      <c r="D25" s="147"/>
      <c r="E25" s="147"/>
      <c r="F25" s="147"/>
      <c r="G25" s="76"/>
      <c r="H25" s="196"/>
      <c r="I25" s="209"/>
      <c r="J25" s="209"/>
      <c r="K25" s="190"/>
      <c r="L25" s="84"/>
      <c r="M25" s="65"/>
      <c r="N25" s="145"/>
      <c r="O25" s="145"/>
      <c r="P25" s="145"/>
    </row>
    <row r="26" spans="2:18" ht="20.149999999999999" customHeight="1" x14ac:dyDescent="0.45">
      <c r="B26" s="58"/>
      <c r="C26" s="17"/>
      <c r="D26" s="487"/>
      <c r="E26" s="487"/>
      <c r="F26" s="487"/>
      <c r="G26" s="76"/>
      <c r="H26" s="56"/>
      <c r="I26" s="494"/>
      <c r="J26" s="494"/>
      <c r="K26" s="83"/>
      <c r="L26" s="84"/>
      <c r="M26" s="65"/>
      <c r="N26" s="145"/>
      <c r="O26" s="145"/>
      <c r="P26" s="145"/>
    </row>
    <row r="27" spans="2:18" ht="20.149999999999999" customHeight="1" x14ac:dyDescent="0.45">
      <c r="B27" s="58"/>
      <c r="C27" s="149" t="s">
        <v>2133</v>
      </c>
      <c r="G27" s="76"/>
      <c r="H27" s="56"/>
      <c r="I27" s="56"/>
      <c r="J27" s="56"/>
      <c r="K27" s="83"/>
      <c r="L27" s="84"/>
      <c r="M27" s="65"/>
      <c r="N27" s="145"/>
      <c r="O27" s="145"/>
      <c r="P27" s="145"/>
    </row>
    <row r="28" spans="2:18" ht="20.149999999999999" customHeight="1" x14ac:dyDescent="0.45">
      <c r="B28" s="58"/>
      <c r="C28" s="19" t="s">
        <v>990</v>
      </c>
      <c r="D28" s="487" t="str">
        <f>VLOOKUP(C28,'Sales Master'!B$3:D$537,2,)</f>
        <v>Fine Sugar 白糖</v>
      </c>
      <c r="E28" s="487"/>
      <c r="F28" s="487"/>
      <c r="G28" s="76">
        <v>1</v>
      </c>
      <c r="H28" s="186" t="str">
        <f>VLOOKUP(C28,'Sales Master'!$B$3:$F$2420,5,0)</f>
        <v>25 KGS</v>
      </c>
      <c r="I28" s="484" t="str">
        <f>VLOOKUP(C28,'Sales Master'!$B$3:$E$2420,4,0)</f>
        <v>MITR PHOL/ 蜜朋</v>
      </c>
      <c r="J28" s="484"/>
      <c r="K28" s="83">
        <v>32</v>
      </c>
      <c r="L28" s="84"/>
      <c r="M28" s="65"/>
      <c r="N28" s="145"/>
      <c r="O28" s="145"/>
      <c r="P28" s="145"/>
    </row>
    <row r="29" spans="2:18" ht="20.149999999999999" customHeight="1" x14ac:dyDescent="0.45">
      <c r="B29" s="58"/>
      <c r="C29" s="147" t="s">
        <v>715</v>
      </c>
      <c r="D29" s="487" t="str">
        <f>VLOOKUP(C29,'Sales Master'!B$3:D$537,2,)</f>
        <v>Coconut Sugar Syrup 椰糖浆</v>
      </c>
      <c r="E29" s="487"/>
      <c r="F29" s="487"/>
      <c r="G29" s="76">
        <v>1</v>
      </c>
      <c r="H29" s="186" t="str">
        <f>VLOOKUP(C29,'Sales Master'!$B$3:$F$2420,5,0)</f>
        <v>GW: 5 KG/ Btl支</v>
      </c>
      <c r="I29" s="484" t="str">
        <f>VLOOKUP(C29,'Sales Master'!$B$3:$E$2420,4,0)</f>
        <v>DO!</v>
      </c>
      <c r="J29" s="484"/>
      <c r="K29" s="83">
        <v>18</v>
      </c>
      <c r="L29" s="84"/>
      <c r="M29" s="65"/>
      <c r="N29" s="145"/>
      <c r="O29" s="145"/>
      <c r="P29" s="145"/>
    </row>
    <row r="30" spans="2:18" ht="20.149999999999999" customHeight="1" x14ac:dyDescent="0.45">
      <c r="B30" s="58"/>
      <c r="C30" s="147" t="s">
        <v>2167</v>
      </c>
      <c r="D30" s="487" t="str">
        <f>VLOOKUP(C30,'Sales Master'!B$3:D$537,2,)</f>
        <v>Coconut Sugar Syrup 椰糖浆</v>
      </c>
      <c r="E30" s="487"/>
      <c r="F30" s="487"/>
      <c r="G30" s="76">
        <v>1</v>
      </c>
      <c r="H30" s="186" t="str">
        <f>VLOOKUP(C30,'Sales Master'!$B$3:$F$2420,5,0)</f>
        <v>GW: 5 KG/ Btl支</v>
      </c>
      <c r="I30" s="484" t="str">
        <f>VLOOKUP(C30,'Sales Master'!$B$3:$E$2420,4,0)</f>
        <v>DO!</v>
      </c>
      <c r="J30" s="484"/>
      <c r="K30" s="83">
        <v>20</v>
      </c>
      <c r="L30" s="84"/>
      <c r="M30" s="65"/>
      <c r="N30" s="145"/>
      <c r="O30" s="145"/>
      <c r="P30" s="145"/>
    </row>
    <row r="31" spans="2:18" ht="20.149999999999999" customHeight="1" x14ac:dyDescent="0.45">
      <c r="B31" s="58"/>
      <c r="C31" s="153"/>
      <c r="G31" s="76"/>
      <c r="H31" s="56"/>
      <c r="I31" s="56"/>
      <c r="J31" s="56"/>
      <c r="K31" s="150"/>
      <c r="L31" s="84"/>
      <c r="M31" s="65"/>
      <c r="N31" s="145"/>
      <c r="O31" s="145"/>
      <c r="P31" s="145"/>
    </row>
    <row r="32" spans="2:18" ht="20.149999999999999" customHeight="1" x14ac:dyDescent="0.45">
      <c r="B32" s="58"/>
      <c r="C32" s="17"/>
      <c r="D32" s="446"/>
      <c r="E32" s="446"/>
      <c r="F32" s="446"/>
      <c r="G32" s="76"/>
      <c r="H32" s="183"/>
      <c r="I32" s="513"/>
      <c r="J32" s="513"/>
      <c r="K32" s="150"/>
      <c r="L32" s="84"/>
      <c r="M32" s="65"/>
      <c r="N32" s="145"/>
      <c r="O32" s="145"/>
      <c r="P32" s="145"/>
    </row>
    <row r="33" spans="2:14" ht="20.149999999999999" customHeight="1" thickBot="1" x14ac:dyDescent="0.5">
      <c r="B33" s="47"/>
      <c r="C33" s="48"/>
      <c r="D33" s="48"/>
      <c r="E33" s="48"/>
      <c r="F33" s="48"/>
      <c r="G33" s="48"/>
      <c r="H33" s="48"/>
      <c r="I33" s="48"/>
      <c r="J33" s="48"/>
      <c r="K33" s="48"/>
      <c r="L33" s="49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89" t="s">
        <v>13</v>
      </c>
      <c r="K34" s="490"/>
      <c r="L34" s="38">
        <f>SUM(L18:L33)</f>
        <v>93</v>
      </c>
      <c r="M34" s="63">
        <f>SUM(P18:P34)</f>
        <v>24.8</v>
      </c>
      <c r="N34" s="133">
        <f>M34/L34</f>
        <v>0.26666666666666666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91" t="s">
        <v>19</v>
      </c>
      <c r="K36" s="492"/>
      <c r="L36" s="41">
        <f>L34-L35</f>
        <v>93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8.3699999999999992</v>
      </c>
    </row>
    <row r="38" spans="2:14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85" t="s">
        <v>21</v>
      </c>
      <c r="K38" s="486"/>
      <c r="L38" s="43">
        <f>L36+L37</f>
        <v>101.37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144" t="s">
        <v>666</v>
      </c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  <row r="47" spans="2:14" ht="20.5" x14ac:dyDescent="0.45">
      <c r="F47" s="203"/>
    </row>
  </sheetData>
  <mergeCells count="42">
    <mergeCell ref="D30:F30"/>
    <mergeCell ref="I26:J26"/>
    <mergeCell ref="I30:J30"/>
    <mergeCell ref="D26:F26"/>
    <mergeCell ref="J38:K38"/>
    <mergeCell ref="J34:K34"/>
    <mergeCell ref="D32:F32"/>
    <mergeCell ref="I32:J32"/>
    <mergeCell ref="J36:K36"/>
    <mergeCell ref="D28:F28"/>
    <mergeCell ref="I28:J28"/>
    <mergeCell ref="D29:F29"/>
    <mergeCell ref="I29:J29"/>
    <mergeCell ref="D24:F24"/>
    <mergeCell ref="D21:F21"/>
    <mergeCell ref="I21:J21"/>
    <mergeCell ref="D18:F18"/>
    <mergeCell ref="I18:J18"/>
    <mergeCell ref="I24:J24"/>
    <mergeCell ref="I20:J20"/>
    <mergeCell ref="I19:J19"/>
    <mergeCell ref="D20:F20"/>
    <mergeCell ref="D19:F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D23:F23"/>
    <mergeCell ref="I23:J23"/>
    <mergeCell ref="I17:J17"/>
    <mergeCell ref="D22:F22"/>
    <mergeCell ref="I22:J22"/>
  </mergeCells>
  <conditionalFormatting sqref="C27">
    <cfRule type="duplicateValues" dxfId="153" priority="1"/>
  </conditionalFormatting>
  <conditionalFormatting sqref="C31">
    <cfRule type="duplicateValues" dxfId="152" priority="1088"/>
  </conditionalFormatting>
  <pageMargins left="0.70866141732283505" right="0.31496062992126" top="0.59055118110236204" bottom="0" header="0.31496062992126" footer="0.31496062992126"/>
  <pageSetup paperSize="9" scale="74"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CAEEF-7D66-4AC4-AE94-E3197DB1E693}">
  <sheetPr codeName="Sheet168">
    <tabColor rgb="FFFFC000"/>
    <pageSetUpPr fitToPage="1"/>
  </sheetPr>
  <dimension ref="B1:P42"/>
  <sheetViews>
    <sheetView topLeftCell="A9" zoomScaleNormal="100" workbookViewId="0">
      <selection activeCell="D18" sqref="D18:F18"/>
    </sheetView>
  </sheetViews>
  <sheetFormatPr defaultColWidth="12.54296875" defaultRowHeight="18.5" x14ac:dyDescent="0.45"/>
  <cols>
    <col min="1" max="3" width="12.54296875" style="19"/>
    <col min="4" max="4" width="14.54296875" style="19" customWidth="1"/>
    <col min="5" max="5" width="3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1.81640625" style="19" customWidth="1"/>
    <col min="10" max="10" width="15.54296875" style="19" customWidth="1"/>
    <col min="11" max="11" width="10.54296875" style="19" customWidth="1"/>
    <col min="12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667</v>
      </c>
      <c r="J10" s="24" t="s">
        <v>27</v>
      </c>
      <c r="K10" s="464">
        <v>202409558</v>
      </c>
      <c r="L10" s="465"/>
    </row>
    <row r="11" spans="2:12" ht="20.149999999999999" customHeight="1" x14ac:dyDescent="0.45">
      <c r="B11" s="466"/>
      <c r="C11" s="467"/>
      <c r="D11" s="468"/>
      <c r="E11" s="25"/>
      <c r="F11" s="469" t="str">
        <f>VLOOKUP(H10,'Delivery Location'!A$4:N$466,2,0)</f>
        <v>高原                                                           Blk 226H, Ang Mo Kio Street 22      #01-14  Singapore 568226</v>
      </c>
      <c r="G11" s="470"/>
      <c r="H11" s="471"/>
      <c r="J11" s="26" t="s">
        <v>9</v>
      </c>
      <c r="K11" s="478">
        <v>45560</v>
      </c>
      <c r="L11" s="479"/>
    </row>
    <row r="12" spans="2:12" ht="20.149999999999999" customHeight="1" x14ac:dyDescent="0.45">
      <c r="B12" s="480"/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/>
      <c r="C13" s="453"/>
      <c r="D13" s="481"/>
      <c r="E13" s="25"/>
      <c r="F13" s="472"/>
      <c r="G13" s="473"/>
      <c r="H13" s="474"/>
      <c r="J13" s="26" t="s">
        <v>10</v>
      </c>
      <c r="K13" s="482" t="s">
        <v>421</v>
      </c>
      <c r="L13" s="483"/>
    </row>
    <row r="14" spans="2:12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08"/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744</v>
      </c>
      <c r="D18" s="533" t="str">
        <f>VLOOKUP(C18,'Sales Master'!B$3:D$537,2,)</f>
        <v>Jelly Powder 文头雪粉 (Carrageenan)</v>
      </c>
      <c r="E18" s="533"/>
      <c r="F18" s="533"/>
      <c r="G18" s="17">
        <v>8</v>
      </c>
      <c r="H18" s="186" t="str">
        <f>VLOOKUP(C18,'Sales Master'!$B$3:$E$537,4,0)</f>
        <v>500/4000</v>
      </c>
      <c r="I18" s="484" t="str">
        <f>VLOOKUP(C18,'Sales Master'!$B$3:F$537,5,0)</f>
        <v>1 kg</v>
      </c>
      <c r="J18" s="484"/>
      <c r="K18" s="83">
        <f>VLOOKUP(C18,'Sales Master'!$B$3:$BO$120,66,0)</f>
        <v>43</v>
      </c>
      <c r="L18" s="64">
        <f>K18*G18</f>
        <v>344</v>
      </c>
      <c r="M18" s="65"/>
      <c r="N18" s="145">
        <f>VLOOKUP(C18,'Sales Master'!$B$3:$DA$2279,104,0)</f>
        <v>27.5</v>
      </c>
      <c r="O18" s="145">
        <f>K18-N18</f>
        <v>15.5</v>
      </c>
      <c r="P18" s="145">
        <f>O18*G18</f>
        <v>124</v>
      </c>
    </row>
    <row r="19" spans="2:16" ht="20.149999999999999" customHeight="1" x14ac:dyDescent="0.45">
      <c r="B19" s="29"/>
      <c r="C19" s="17"/>
      <c r="D19" s="493"/>
      <c r="E19" s="493"/>
      <c r="F19" s="493"/>
      <c r="G19" s="17"/>
      <c r="H19" s="56"/>
      <c r="I19" s="494"/>
      <c r="J19" s="494"/>
      <c r="K19" s="190"/>
      <c r="L19" s="64"/>
    </row>
    <row r="20" spans="2:16" ht="20.149999999999999" customHeight="1" x14ac:dyDescent="0.45">
      <c r="B20" s="29"/>
      <c r="C20" s="17"/>
      <c r="D20" s="493"/>
      <c r="E20" s="493"/>
      <c r="F20" s="493"/>
      <c r="G20" s="17"/>
      <c r="H20" s="56"/>
      <c r="I20" s="494"/>
      <c r="J20" s="494"/>
      <c r="K20" s="190"/>
      <c r="L20" s="64"/>
    </row>
    <row r="21" spans="2:16" ht="20.149999999999999" customHeight="1" x14ac:dyDescent="0.45">
      <c r="B21" s="29"/>
      <c r="C21" s="17"/>
      <c r="D21" s="493"/>
      <c r="E21" s="493"/>
      <c r="F21" s="493"/>
      <c r="G21" s="17"/>
      <c r="H21" s="56"/>
      <c r="I21" s="494"/>
      <c r="J21" s="494"/>
      <c r="K21" s="190"/>
      <c r="L21" s="64"/>
    </row>
    <row r="22" spans="2:16" ht="20.149999999999999" customHeight="1" x14ac:dyDescent="0.45">
      <c r="B22" s="29"/>
      <c r="C22" s="17"/>
      <c r="D22" s="493"/>
      <c r="E22" s="493"/>
      <c r="F22" s="493"/>
      <c r="G22" s="17"/>
      <c r="H22" s="56"/>
      <c r="I22" s="494"/>
      <c r="J22" s="494"/>
      <c r="K22" s="190"/>
      <c r="L22" s="64"/>
    </row>
    <row r="23" spans="2:16" ht="20.149999999999999" customHeight="1" x14ac:dyDescent="0.45">
      <c r="B23" s="29"/>
      <c r="C23" s="17"/>
      <c r="D23" s="493"/>
      <c r="E23" s="493"/>
      <c r="F23" s="493"/>
      <c r="G23" s="17"/>
      <c r="H23" s="56"/>
      <c r="I23" s="494"/>
      <c r="J23" s="494"/>
      <c r="K23" s="190"/>
      <c r="L23" s="64"/>
    </row>
    <row r="24" spans="2:16" ht="20.149999999999999" customHeight="1" x14ac:dyDescent="0.45">
      <c r="B24" s="29"/>
      <c r="C24" s="17"/>
      <c r="D24" s="487"/>
      <c r="E24" s="487"/>
      <c r="F24" s="487"/>
      <c r="G24" s="17"/>
      <c r="H24" s="56"/>
      <c r="I24" s="494"/>
      <c r="J24" s="494"/>
      <c r="K24" s="190"/>
      <c r="L24" s="31"/>
    </row>
    <row r="25" spans="2:16" ht="20.149999999999999" customHeight="1" x14ac:dyDescent="0.45">
      <c r="B25" s="29"/>
      <c r="C25" s="17"/>
      <c r="D25" s="487"/>
      <c r="E25" s="487"/>
      <c r="F25" s="487"/>
      <c r="G25" s="17"/>
      <c r="H25" s="56"/>
      <c r="I25" s="494"/>
      <c r="J25" s="494"/>
      <c r="K25" s="190"/>
      <c r="L25" s="31"/>
    </row>
    <row r="26" spans="2:16" ht="20.149999999999999" customHeight="1" x14ac:dyDescent="0.45">
      <c r="B26" s="29"/>
      <c r="C26" s="17"/>
      <c r="D26" s="487"/>
      <c r="E26" s="487"/>
      <c r="F26" s="487"/>
      <c r="G26" s="17"/>
      <c r="H26" s="56"/>
      <c r="I26" s="56"/>
      <c r="J26" s="56"/>
      <c r="K26" s="190"/>
      <c r="L26" s="31"/>
    </row>
    <row r="27" spans="2:16" ht="20.149999999999999" customHeight="1" x14ac:dyDescent="0.45">
      <c r="B27" s="29"/>
      <c r="C27" s="17"/>
      <c r="D27" s="487"/>
      <c r="E27" s="487"/>
      <c r="F27" s="487"/>
      <c r="G27" s="17"/>
      <c r="H27" s="56"/>
      <c r="I27" s="56"/>
      <c r="J27" s="56"/>
      <c r="K27" s="190"/>
      <c r="L27" s="31"/>
    </row>
    <row r="28" spans="2:16" ht="20.149999999999999" customHeight="1" thickBot="1" x14ac:dyDescent="0.5">
      <c r="B28" s="32"/>
      <c r="C28" s="33"/>
      <c r="D28" s="488"/>
      <c r="E28" s="488"/>
      <c r="F28" s="488"/>
      <c r="G28" s="33"/>
      <c r="H28" s="57"/>
      <c r="I28" s="57"/>
      <c r="J28" s="57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SUM(L18:L29)</f>
        <v>344</v>
      </c>
      <c r="M30" s="63">
        <f>SUM(P18:P28)-L31</f>
        <v>124</v>
      </c>
      <c r="N30" s="133">
        <f>M30/L30</f>
        <v>0.36046511627906974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1761</v>
      </c>
      <c r="K31" s="261">
        <v>6.54E-2</v>
      </c>
      <c r="L31" s="41"/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581" t="s">
        <v>1760</v>
      </c>
      <c r="K32" s="582"/>
      <c r="L32" s="260">
        <f>L30</f>
        <v>344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1759</v>
      </c>
      <c r="K33" s="103">
        <f>'Sales Master'!$B$1</f>
        <v>0.09</v>
      </c>
      <c r="L33" s="42">
        <f>L32*K33</f>
        <v>30.959999999999997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374.96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666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7">
    <mergeCell ref="D21:F21"/>
    <mergeCell ref="I21:J21"/>
    <mergeCell ref="D22:F22"/>
    <mergeCell ref="I22:J22"/>
    <mergeCell ref="K10:L10"/>
    <mergeCell ref="B11:D11"/>
    <mergeCell ref="F11:H15"/>
    <mergeCell ref="K11:L11"/>
    <mergeCell ref="B12:D12"/>
    <mergeCell ref="K12:L12"/>
    <mergeCell ref="D19:F19"/>
    <mergeCell ref="I19:J19"/>
    <mergeCell ref="D20:F20"/>
    <mergeCell ref="I20:J20"/>
    <mergeCell ref="B1:L8"/>
    <mergeCell ref="D17:F17"/>
    <mergeCell ref="I17:J17"/>
    <mergeCell ref="D18:F18"/>
    <mergeCell ref="B13:D13"/>
    <mergeCell ref="K13:L13"/>
    <mergeCell ref="B14:D14"/>
    <mergeCell ref="K14:L14"/>
    <mergeCell ref="B15:D15"/>
    <mergeCell ref="K15:L15"/>
    <mergeCell ref="I18:J18"/>
    <mergeCell ref="J34:K34"/>
    <mergeCell ref="D26:F26"/>
    <mergeCell ref="D27:F27"/>
    <mergeCell ref="D28:F28"/>
    <mergeCell ref="J30:K30"/>
    <mergeCell ref="J32:K32"/>
    <mergeCell ref="D23:F23"/>
    <mergeCell ref="I23:J23"/>
    <mergeCell ref="D24:F24"/>
    <mergeCell ref="I24:J24"/>
    <mergeCell ref="D25:F25"/>
    <mergeCell ref="I25:J25"/>
  </mergeCells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E3454-1C00-4E8A-8721-82B61571B0EC}">
  <sheetPr codeName="Sheet176">
    <tabColor rgb="FF7030A0"/>
    <pageSetUpPr fitToPage="1"/>
  </sheetPr>
  <dimension ref="B1:V42"/>
  <sheetViews>
    <sheetView topLeftCell="A23"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671</v>
      </c>
      <c r="J10" s="24" t="s">
        <v>27</v>
      </c>
      <c r="K10" s="464">
        <v>202504229</v>
      </c>
      <c r="L10" s="465"/>
    </row>
    <row r="11" spans="2:12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 xml:space="preserve">FOOD REPUBLIC PTE LTD                             Somerset Orchard@JuiceBar No: 17   313 Orchard Road #05-01                Singapore 238895                           </v>
      </c>
      <c r="G11" s="470"/>
      <c r="H11" s="471"/>
      <c r="J11" s="26" t="s">
        <v>9</v>
      </c>
      <c r="K11" s="478">
        <v>45756</v>
      </c>
      <c r="L11" s="479"/>
    </row>
    <row r="12" spans="2:12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>
        <v>4500363245</v>
      </c>
      <c r="L12" s="483"/>
    </row>
    <row r="13" spans="2:12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>
        <v>520740</v>
      </c>
      <c r="C18" s="212" t="str">
        <f>VLOOKUP(B18,'Sales Master'!A$3:B$537,2,0)</f>
        <v>M1037A</v>
      </c>
      <c r="D18" s="487" t="str">
        <f>VLOOKUP(C18,'Sales Master'!B$3:D$537,2,)</f>
        <v>Rock Sugar Syrup 冰糖浆</v>
      </c>
      <c r="E18" s="487"/>
      <c r="F18" s="487"/>
      <c r="G18" s="76">
        <v>5</v>
      </c>
      <c r="H18" s="183" t="str">
        <f>VLOOKUP(C18,'Sales Master'!$B$3:$F$2420,5,0)</f>
        <v>5 KG</v>
      </c>
      <c r="I18" s="513" t="str">
        <f>VLOOKUP(C18,'Sales Master'!$B$3:$E$2420,4,0)</f>
        <v>DO!</v>
      </c>
      <c r="J18" s="513"/>
      <c r="K18" s="83">
        <f>VLOOKUP(C18,'Sales Master'!B$3:I$537,8,0)</f>
        <v>11</v>
      </c>
      <c r="L18" s="84">
        <f>K18*G18</f>
        <v>55</v>
      </c>
      <c r="N18" s="145">
        <f>VLOOKUP(C18,'Sales Master'!$B$3:$DA$2279,104,0)</f>
        <v>5.86</v>
      </c>
      <c r="O18" s="145">
        <f>K18-N18</f>
        <v>5.14</v>
      </c>
      <c r="P18" s="145">
        <f>O18*G18</f>
        <v>25.7</v>
      </c>
      <c r="Q18" s="170"/>
      <c r="R18" s="93"/>
      <c r="S18" s="93"/>
      <c r="T18" s="93"/>
      <c r="U18" s="93"/>
      <c r="V18" s="93"/>
    </row>
    <row r="19" spans="2:22" ht="20.149999999999999" customHeight="1" x14ac:dyDescent="0.45">
      <c r="B19" s="29">
        <v>520745</v>
      </c>
      <c r="C19" s="212" t="str">
        <f>VLOOKUP(B19,'Sales Master'!A$3:B$537,2,0)</f>
        <v>P3044</v>
      </c>
      <c r="D19" s="487" t="str">
        <f>VLOOKUP(C19,'Sales Master'!B$3:D$537,2,)</f>
        <v>Sour Plum 酸梅(无子)</v>
      </c>
      <c r="E19" s="487"/>
      <c r="F19" s="487"/>
      <c r="G19" s="76">
        <v>1</v>
      </c>
      <c r="H19" s="183" t="str">
        <f>VLOOKUP(C19,'Sales Master'!$B$3:$F$2420,5,0)</f>
        <v>1 kg</v>
      </c>
      <c r="I19" s="513" t="str">
        <f>VLOOKUP(C19,'Sales Master'!$B$3:$E$2420,4,0)</f>
        <v>-</v>
      </c>
      <c r="J19" s="513"/>
      <c r="K19" s="83">
        <f>VLOOKUP(C19,'Sales Master'!B$3:I$537,8,0)</f>
        <v>19</v>
      </c>
      <c r="L19" s="84">
        <f>K19*G19</f>
        <v>19</v>
      </c>
      <c r="N19" s="145">
        <f>VLOOKUP(C19,'Sales Master'!$B$3:$DA$2279,104,0)</f>
        <v>14.533333333333333</v>
      </c>
      <c r="O19" s="145">
        <f>K19-N19</f>
        <v>4.4666666666666668</v>
      </c>
      <c r="P19" s="145">
        <f>O19*G19</f>
        <v>4.4666666666666668</v>
      </c>
      <c r="Q19" s="170"/>
    </row>
    <row r="20" spans="2:22" ht="20.149999999999999" customHeight="1" x14ac:dyDescent="0.45">
      <c r="B20" s="29"/>
      <c r="C20" s="212"/>
      <c r="D20" s="487"/>
      <c r="E20" s="487"/>
      <c r="F20" s="487"/>
      <c r="G20" s="76"/>
      <c r="H20" s="183"/>
      <c r="I20" s="513"/>
      <c r="J20" s="513"/>
      <c r="K20" s="83"/>
      <c r="L20" s="84"/>
      <c r="N20" s="145"/>
      <c r="O20" s="145"/>
      <c r="P20" s="145"/>
      <c r="Q20" s="170"/>
    </row>
    <row r="21" spans="2:22" ht="20.149999999999999" customHeight="1" x14ac:dyDescent="0.45">
      <c r="B21" s="29"/>
      <c r="C21" s="212"/>
      <c r="D21" s="487"/>
      <c r="E21" s="487"/>
      <c r="F21" s="487"/>
      <c r="G21" s="76"/>
      <c r="H21" s="183"/>
      <c r="I21" s="513"/>
      <c r="J21" s="513"/>
      <c r="K21" s="83"/>
      <c r="L21" s="84"/>
      <c r="N21" s="145"/>
      <c r="O21" s="145"/>
      <c r="P21" s="145"/>
      <c r="Q21" s="170"/>
    </row>
    <row r="22" spans="2:22" ht="20.149999999999999" customHeight="1" x14ac:dyDescent="0.45">
      <c r="B22" s="29"/>
      <c r="C22" s="17"/>
      <c r="D22" s="487"/>
      <c r="E22" s="487"/>
      <c r="F22" s="487"/>
      <c r="G22" s="76"/>
      <c r="H22" s="183"/>
      <c r="I22" s="513"/>
      <c r="J22" s="513"/>
      <c r="K22" s="83"/>
      <c r="L22" s="84"/>
      <c r="N22" s="145"/>
      <c r="O22" s="145"/>
      <c r="P22" s="145"/>
    </row>
    <row r="23" spans="2:22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31"/>
    </row>
    <row r="24" spans="2:22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31"/>
    </row>
    <row r="25" spans="2:22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31"/>
    </row>
    <row r="26" spans="2:22" ht="20.149999999999999" customHeight="1" x14ac:dyDescent="0.45">
      <c r="B26" s="29"/>
      <c r="C26" s="17"/>
      <c r="D26" s="487"/>
      <c r="E26" s="487"/>
      <c r="F26" s="487"/>
      <c r="G26" s="76"/>
      <c r="H26" s="56"/>
      <c r="I26" s="494"/>
      <c r="J26" s="494"/>
      <c r="K26" s="30"/>
      <c r="L26" s="31"/>
    </row>
    <row r="27" spans="2:22" ht="20.149999999999999" customHeight="1" x14ac:dyDescent="0.45">
      <c r="B27" s="29"/>
      <c r="C27" s="17"/>
      <c r="G27" s="76"/>
      <c r="H27" s="56"/>
      <c r="I27" s="56"/>
      <c r="J27" s="56"/>
      <c r="K27" s="30"/>
      <c r="L27" s="31"/>
    </row>
    <row r="28" spans="2:22" ht="20.149999999999999" customHeight="1" x14ac:dyDescent="0.45">
      <c r="B28" s="104"/>
      <c r="C28" s="105"/>
      <c r="D28" s="514"/>
      <c r="E28" s="514"/>
      <c r="F28" s="514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SUM(L18:L29)</f>
        <v>74</v>
      </c>
      <c r="M30" s="63">
        <f>SUM(P18:P27)</f>
        <v>30.166666666666664</v>
      </c>
      <c r="N30" s="133">
        <f>M30/L30</f>
        <v>0.4076576576576576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74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6.66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80.66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666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2:K32"/>
    <mergeCell ref="J34:K34"/>
    <mergeCell ref="D25:F25"/>
    <mergeCell ref="I25:J25"/>
    <mergeCell ref="D26:F26"/>
    <mergeCell ref="I26:J26"/>
    <mergeCell ref="D28:F28"/>
    <mergeCell ref="J30:K30"/>
  </mergeCells>
  <conditionalFormatting sqref="C18:C20">
    <cfRule type="duplicateValues" dxfId="151" priority="4"/>
  </conditionalFormatting>
  <conditionalFormatting sqref="C21">
    <cfRule type="duplicateValues" dxfId="150" priority="1"/>
  </conditionalFormatting>
  <conditionalFormatting sqref="C22">
    <cfRule type="duplicateValues" dxfId="149" priority="3"/>
  </conditionalFormatting>
  <conditionalFormatting sqref="C23">
    <cfRule type="duplicateValues" dxfId="148" priority="2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403FB-CC30-4F9E-8F92-2D10A2D66D5A}">
  <sheetPr>
    <tabColor rgb="FF7030A0"/>
    <pageSetUpPr fitToPage="1"/>
  </sheetPr>
  <dimension ref="B1:P41"/>
  <sheetViews>
    <sheetView topLeftCell="B7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672</v>
      </c>
      <c r="J10" s="24" t="s">
        <v>27</v>
      </c>
      <c r="K10" s="464">
        <v>202406380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Koufu - Drink                                         258 Pasir Ris Street 21,  Loyang Point, #02-313,  Singapore 510258</v>
      </c>
      <c r="G11" s="470"/>
      <c r="H11" s="471"/>
      <c r="J11" s="26" t="s">
        <v>9</v>
      </c>
      <c r="K11" s="478">
        <v>45461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2017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937</v>
      </c>
      <c r="D18" s="487" t="str">
        <f>VLOOKUP(C18,'Sales Master'!B$3:D$537,2,)</f>
        <v>Lychee in Syrup 荔枝</v>
      </c>
      <c r="E18" s="487"/>
      <c r="F18" s="487"/>
      <c r="G18" s="17">
        <v>2</v>
      </c>
      <c r="H18" s="230" t="str">
        <f>VLOOKUP(C18,'Sales Master'!$B$3:$F$2488,5,0)</f>
        <v>12 CAN/CARTON</v>
      </c>
      <c r="I18" s="484" t="str">
        <f>VLOOKUP(C18,'Sales Master'!$B$3:$E$2488,4,0)</f>
        <v>Statue</v>
      </c>
      <c r="J18" s="484"/>
      <c r="K18" s="30">
        <f>VLOOKUP(C18,'Sales Master'!$B$3:$J$537,9,0)</f>
        <v>22</v>
      </c>
      <c r="L18" s="31">
        <f>K18*G18</f>
        <v>44</v>
      </c>
      <c r="N18" s="145">
        <f>VLOOKUP(C18,'Sales Master'!$B$3:$DA$2279,104,0)</f>
        <v>16.5</v>
      </c>
      <c r="O18" s="145">
        <f>K18-N18</f>
        <v>5.5</v>
      </c>
      <c r="P18" s="145">
        <f>O18*G18</f>
        <v>11</v>
      </c>
    </row>
    <row r="19" spans="2:16" ht="20.149999999999999" customHeight="1" x14ac:dyDescent="0.45">
      <c r="B19" s="29"/>
      <c r="C19" s="212"/>
      <c r="D19" s="487"/>
      <c r="E19" s="487"/>
      <c r="F19" s="487"/>
      <c r="G19" s="17"/>
      <c r="H19" s="230"/>
      <c r="I19" s="484"/>
      <c r="J19" s="484"/>
      <c r="K19" s="30"/>
      <c r="L19" s="31"/>
      <c r="N19" s="145"/>
      <c r="O19" s="145"/>
      <c r="P19" s="145"/>
    </row>
    <row r="20" spans="2:16" ht="20.149999999999999" customHeight="1" x14ac:dyDescent="0.45">
      <c r="B20" s="29"/>
      <c r="C20" s="212"/>
      <c r="D20" s="487"/>
      <c r="E20" s="487"/>
      <c r="F20" s="487"/>
      <c r="G20" s="17"/>
      <c r="H20" s="230"/>
      <c r="I20" s="484"/>
      <c r="J20" s="484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2"/>
      <c r="D21" s="487"/>
      <c r="E21" s="487"/>
      <c r="F21" s="487"/>
      <c r="G21" s="17"/>
      <c r="H21" s="56"/>
      <c r="I21" s="494"/>
      <c r="J21" s="494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2"/>
      <c r="D22" s="487"/>
      <c r="E22" s="487"/>
      <c r="F22" s="487"/>
      <c r="G22" s="17"/>
      <c r="H22" s="56"/>
      <c r="I22" s="494"/>
      <c r="J22" s="494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2"/>
      <c r="D23" s="487"/>
      <c r="E23" s="487"/>
      <c r="F23" s="487"/>
      <c r="G23" s="17"/>
      <c r="H23" s="56"/>
      <c r="I23" s="494"/>
      <c r="J23" s="494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17"/>
      <c r="G24" s="17"/>
      <c r="H24" s="56"/>
      <c r="I24" s="17"/>
      <c r="J24" s="17"/>
      <c r="K24" s="30"/>
      <c r="L24" s="31"/>
    </row>
    <row r="25" spans="2:16" ht="20.149999999999999" customHeight="1" x14ac:dyDescent="0.45">
      <c r="B25" s="29"/>
      <c r="C25" s="17"/>
      <c r="D25" s="487"/>
      <c r="E25" s="487"/>
      <c r="F25" s="487"/>
      <c r="G25" s="17"/>
      <c r="H25" s="56"/>
      <c r="I25" s="56"/>
      <c r="J25" s="17"/>
      <c r="K25" s="30"/>
      <c r="L25" s="31"/>
    </row>
    <row r="26" spans="2:16" ht="20.149999999999999" customHeight="1" x14ac:dyDescent="0.45">
      <c r="B26" s="29"/>
      <c r="C26" s="17"/>
      <c r="D26" s="487"/>
      <c r="E26" s="487"/>
      <c r="F26" s="487"/>
      <c r="G26" s="17"/>
      <c r="H26" s="17"/>
      <c r="I26" s="17"/>
      <c r="J26" s="17"/>
      <c r="K26" s="30"/>
      <c r="L26" s="31"/>
    </row>
    <row r="27" spans="2:16" ht="20.149999999999999" customHeight="1" thickBot="1" x14ac:dyDescent="0.5">
      <c r="B27" s="32"/>
      <c r="C27" s="33"/>
      <c r="D27" s="488"/>
      <c r="E27" s="488"/>
      <c r="F27" s="488"/>
      <c r="G27" s="33"/>
      <c r="H27" s="33"/>
      <c r="I27" s="33"/>
      <c r="J27" s="33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89" t="s">
        <v>13</v>
      </c>
      <c r="K29" s="490"/>
      <c r="L29" s="38">
        <f>SUM(L17:L27)</f>
        <v>44</v>
      </c>
      <c r="M29" s="63">
        <f>SUM(P18:P21)-L29*0.02</f>
        <v>10.119999999999999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91" t="s">
        <v>19</v>
      </c>
      <c r="K31" s="492"/>
      <c r="L31" s="41">
        <f>L29-L30</f>
        <v>44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3.96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85" t="s">
        <v>21</v>
      </c>
      <c r="K33" s="486"/>
      <c r="L33" s="43">
        <f>L31+L32</f>
        <v>47.96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7:F27"/>
    <mergeCell ref="J29:K29"/>
    <mergeCell ref="J31:K31"/>
    <mergeCell ref="J33:K33"/>
    <mergeCell ref="D22:F22"/>
    <mergeCell ref="I22:J22"/>
    <mergeCell ref="D23:F23"/>
    <mergeCell ref="I23:J23"/>
    <mergeCell ref="D25:F25"/>
    <mergeCell ref="D26:F26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0747F-1B72-4A4A-BF3D-80BDF2184115}">
  <sheetPr codeName="Sheet91">
    <tabColor rgb="FFFFC000"/>
    <pageSetUpPr fitToPage="1"/>
  </sheetPr>
  <dimension ref="B1:P42"/>
  <sheetViews>
    <sheetView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5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683</v>
      </c>
      <c r="J10" s="24" t="s">
        <v>27</v>
      </c>
      <c r="K10" s="464">
        <v>202305177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WaterWay Point                                            83 Punggol Central #02-20/21 Singapore 828761                               (DIM SUM STALL)</v>
      </c>
      <c r="G11" s="470"/>
      <c r="H11" s="471"/>
      <c r="J11" s="26" t="s">
        <v>9</v>
      </c>
      <c r="K11" s="478">
        <v>45054</v>
      </c>
      <c r="L11" s="479"/>
    </row>
    <row r="12" spans="2:12" ht="20.149999999999999" customHeight="1" x14ac:dyDescent="0.45">
      <c r="B12" s="480" t="s">
        <v>1145</v>
      </c>
      <c r="C12" s="453"/>
      <c r="D12" s="481"/>
      <c r="E12" s="25"/>
      <c r="F12" s="472"/>
      <c r="G12" s="473"/>
      <c r="H12" s="474"/>
      <c r="J12" s="26" t="s">
        <v>127</v>
      </c>
      <c r="K12" s="500" t="s">
        <v>34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 t="s">
        <v>777</v>
      </c>
      <c r="D18" s="487" t="str">
        <f>VLOOKUP(C18,'Sales Master'!B$3:D$537,2,)</f>
        <v>Sweet Potato Powder 番薯粉</v>
      </c>
      <c r="E18" s="487"/>
      <c r="F18" s="487"/>
      <c r="G18" s="17">
        <v>2</v>
      </c>
      <c r="H18" s="188" t="str">
        <f>VLOOKUP(C18,'Sales Master'!$B$3:$F$2420,5,0)</f>
        <v>(500gm x 20Pkt)包</v>
      </c>
      <c r="I18" s="484" t="str">
        <f>VLOOKUP(C18,'Sales Master'!$B$3:$E$2420,4,0)</f>
        <v>RE-PACK</v>
      </c>
      <c r="J18" s="484"/>
      <c r="K18" s="30">
        <f>VLOOKUP(C18,'Sales Master'!B$3:AO$537,40,0)</f>
        <v>32</v>
      </c>
      <c r="L18" s="64">
        <f>K18*G18</f>
        <v>64</v>
      </c>
      <c r="M18" s="65"/>
      <c r="N18" s="145">
        <f>VLOOKUP(C18,'Sales Master'!$B$3:$DA$2279,104,0)</f>
        <v>24.8</v>
      </c>
      <c r="O18" s="145">
        <f>K18-N18</f>
        <v>7.1999999999999993</v>
      </c>
      <c r="P18" s="145">
        <f>O18*G18</f>
        <v>14.399999999999999</v>
      </c>
    </row>
    <row r="19" spans="2:16" ht="20.149999999999999" customHeight="1" x14ac:dyDescent="0.45">
      <c r="B19" s="29"/>
      <c r="C19" s="17" t="s">
        <v>966</v>
      </c>
      <c r="D19" s="487" t="str">
        <f>VLOOKUP(C19,'Sales Master'!B$3:D$537,2,)</f>
        <v>Coconut Milk 椰浆</v>
      </c>
      <c r="E19" s="487"/>
      <c r="F19" s="487"/>
      <c r="G19" s="17">
        <v>4</v>
      </c>
      <c r="H19" s="188" t="str">
        <f>VLOOKUP(C19,'Sales Master'!$B$3:$F$2420,5,0)</f>
        <v>(1L x 12bag)/箱</v>
      </c>
      <c r="I19" s="484" t="str">
        <f>VLOOKUP(C19,'Sales Master'!$B$3:$E$2420,4,0)</f>
        <v>Kara UHT</v>
      </c>
      <c r="J19" s="484"/>
      <c r="K19" s="30">
        <f>VLOOKUP(C19,'Sales Master'!B$3:AO$537,40,0)</f>
        <v>54</v>
      </c>
      <c r="L19" s="64">
        <f>K19*G19</f>
        <v>216</v>
      </c>
      <c r="M19" s="65"/>
      <c r="N19" s="145">
        <f>VLOOKUP(C19,'Sales Master'!$B$3:$DA$2279,104,0)</f>
        <v>35.799999999999997</v>
      </c>
      <c r="O19" s="145">
        <f>K19-N19</f>
        <v>18.200000000000003</v>
      </c>
      <c r="P19" s="145">
        <f>O19*G19</f>
        <v>72.800000000000011</v>
      </c>
    </row>
    <row r="20" spans="2:16" ht="20.149999999999999" customHeight="1" x14ac:dyDescent="0.45">
      <c r="B20" s="29"/>
      <c r="C20" s="17"/>
      <c r="D20" s="487"/>
      <c r="E20" s="487"/>
      <c r="F20" s="487"/>
      <c r="G20" s="17"/>
      <c r="H20" s="56"/>
      <c r="I20" s="494"/>
      <c r="J20" s="494"/>
      <c r="K20" s="30"/>
      <c r="L20" s="64"/>
      <c r="M20" s="65"/>
    </row>
    <row r="21" spans="2:16" ht="20.149999999999999" customHeight="1" x14ac:dyDescent="0.45">
      <c r="B21" s="29"/>
      <c r="C21" s="17"/>
      <c r="D21" s="487"/>
      <c r="E21" s="487"/>
      <c r="F21" s="487"/>
      <c r="G21" s="17"/>
      <c r="H21" s="56"/>
      <c r="I21" s="494"/>
      <c r="J21" s="494"/>
      <c r="K21" s="30"/>
      <c r="L21" s="64"/>
      <c r="M21" s="65"/>
    </row>
    <row r="22" spans="2:16" ht="20.149999999999999" customHeight="1" x14ac:dyDescent="0.45">
      <c r="B22" s="29"/>
      <c r="C22" s="17"/>
      <c r="D22" s="487"/>
      <c r="E22" s="487"/>
      <c r="F22" s="487"/>
      <c r="G22" s="17"/>
      <c r="H22" s="56"/>
      <c r="I22" s="494"/>
      <c r="J22" s="494"/>
      <c r="K22" s="30"/>
      <c r="L22" s="64"/>
      <c r="M22" s="65"/>
    </row>
    <row r="23" spans="2:16" ht="20.149999999999999" customHeight="1" x14ac:dyDescent="0.45">
      <c r="B23" s="29"/>
      <c r="C23" s="17"/>
      <c r="D23" s="487"/>
      <c r="E23" s="487"/>
      <c r="F23" s="487"/>
      <c r="G23" s="17"/>
      <c r="H23" s="56"/>
      <c r="I23" s="494"/>
      <c r="J23" s="494"/>
      <c r="K23" s="30"/>
      <c r="L23" s="64"/>
      <c r="M23" s="65"/>
      <c r="N23" s="93"/>
    </row>
    <row r="24" spans="2:16" ht="20.149999999999999" customHeight="1" x14ac:dyDescent="0.45">
      <c r="B24" s="29"/>
      <c r="C24" s="17"/>
      <c r="D24" s="487"/>
      <c r="E24" s="487"/>
      <c r="F24" s="487"/>
      <c r="G24" s="17"/>
      <c r="H24" s="56"/>
      <c r="I24" s="494"/>
      <c r="J24" s="494"/>
      <c r="K24" s="30"/>
      <c r="L24" s="64"/>
      <c r="M24" s="65"/>
    </row>
    <row r="25" spans="2:16" ht="20.149999999999999" customHeight="1" x14ac:dyDescent="0.45">
      <c r="B25" s="29"/>
      <c r="C25" s="17"/>
      <c r="D25" s="487"/>
      <c r="E25" s="487"/>
      <c r="F25" s="487"/>
      <c r="G25" s="17"/>
      <c r="H25" s="56"/>
      <c r="I25" s="494"/>
      <c r="J25" s="494"/>
      <c r="K25" s="30"/>
      <c r="L25" s="64"/>
      <c r="M25" s="65"/>
    </row>
    <row r="26" spans="2:16" ht="20.149999999999999" customHeight="1" x14ac:dyDescent="0.45">
      <c r="B26" s="29"/>
      <c r="C26" s="17"/>
      <c r="D26" s="487"/>
      <c r="E26" s="487"/>
      <c r="F26" s="487"/>
      <c r="G26" s="17"/>
      <c r="H26" s="56"/>
      <c r="I26" s="458"/>
      <c r="J26" s="458"/>
      <c r="K26" s="30"/>
      <c r="L26" s="64"/>
    </row>
    <row r="27" spans="2:16" ht="20.149999999999999" customHeight="1" thickBot="1" x14ac:dyDescent="0.5">
      <c r="B27" s="32"/>
      <c r="C27" s="33"/>
      <c r="D27" s="488"/>
      <c r="E27" s="488"/>
      <c r="F27" s="488"/>
      <c r="G27" s="33"/>
      <c r="H27" s="57"/>
      <c r="I27" s="459"/>
      <c r="J27" s="459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D29" s="6"/>
      <c r="E29" s="6"/>
      <c r="F29" s="6"/>
      <c r="G29" s="6"/>
      <c r="H29" s="6"/>
      <c r="I29" s="6"/>
      <c r="J29" s="489" t="s">
        <v>13</v>
      </c>
      <c r="K29" s="490"/>
      <c r="L29" s="38">
        <f>SUM(L17:L28)</f>
        <v>280</v>
      </c>
      <c r="M29" s="63">
        <f>SUM(P18:P26)</f>
        <v>87.200000000000017</v>
      </c>
      <c r="N29" s="133">
        <f>M29/L29</f>
        <v>0.3114285714285715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91" t="s">
        <v>19</v>
      </c>
      <c r="K31" s="492"/>
      <c r="L31" s="41">
        <f>L29-L30</f>
        <v>280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25.2</v>
      </c>
    </row>
    <row r="33" spans="2:12" ht="20.149999999999999" customHeight="1" thickBot="1" x14ac:dyDescent="0.5">
      <c r="B33" s="10" t="s">
        <v>676</v>
      </c>
      <c r="C33" s="6"/>
      <c r="D33" s="6"/>
      <c r="E33" s="6"/>
      <c r="F33" s="6"/>
      <c r="G33" s="6"/>
      <c r="H33" s="6"/>
      <c r="I33" s="6"/>
      <c r="J33" s="485" t="s">
        <v>21</v>
      </c>
      <c r="K33" s="486"/>
      <c r="L33" s="43">
        <f>L31+L32</f>
        <v>305.2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144" t="s">
        <v>666</v>
      </c>
      <c r="C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C40" s="45"/>
      <c r="J40" s="19" t="s">
        <v>26</v>
      </c>
      <c r="L40" s="37"/>
    </row>
    <row r="41" spans="2:12" ht="19" thickBot="1" x14ac:dyDescent="0.5">
      <c r="B41" s="47"/>
      <c r="C41" s="128"/>
      <c r="D41" s="48"/>
      <c r="E41" s="48"/>
      <c r="F41" s="48"/>
      <c r="G41" s="48"/>
      <c r="H41" s="48"/>
      <c r="I41" s="48"/>
      <c r="J41" s="48"/>
      <c r="K41" s="48"/>
      <c r="L41" s="49"/>
    </row>
    <row r="42" spans="2:12" ht="19" thickBot="1" x14ac:dyDescent="0.5">
      <c r="C42" s="48"/>
    </row>
  </sheetData>
  <mergeCells count="38">
    <mergeCell ref="J31:K31"/>
    <mergeCell ref="J33:K33"/>
    <mergeCell ref="D26:F26"/>
    <mergeCell ref="I26:J26"/>
    <mergeCell ref="D27:F27"/>
    <mergeCell ref="I27:J27"/>
    <mergeCell ref="J29:K29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BDD72-C3C6-4CC8-8F12-1E9E0AC268DB}">
  <sheetPr codeName="Sheet114">
    <tabColor rgb="FFFFC000"/>
    <pageSetUpPr fitToPage="1"/>
  </sheetPr>
  <dimension ref="B1:V42"/>
  <sheetViews>
    <sheetView topLeftCell="A9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693</v>
      </c>
      <c r="J10" s="24" t="s">
        <v>27</v>
      </c>
      <c r="K10" s="464">
        <v>202305603</v>
      </c>
      <c r="L10" s="465"/>
    </row>
    <row r="11" spans="2:14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>FOOD REPUBLIC PTE LTD                                  Serangoon Nex@Fruit Stall                          23, Serangoon Central #B2-63                      Singapore 550683</v>
      </c>
      <c r="G11" s="470"/>
      <c r="H11" s="471"/>
      <c r="J11" s="26" t="s">
        <v>9</v>
      </c>
      <c r="K11" s="478">
        <v>45072</v>
      </c>
      <c r="L11" s="479"/>
    </row>
    <row r="12" spans="2:14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19" t="s">
        <v>968</v>
      </c>
    </row>
    <row r="13" spans="2:14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1272</v>
      </c>
    </row>
    <row r="14" spans="2:14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  <c r="N14" s="19" t="s">
        <v>1158</v>
      </c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/>
      <c r="C18" s="212" t="s">
        <v>936</v>
      </c>
      <c r="D18" s="487" t="str">
        <f>VLOOKUP(C18,'Sales Master'!B$3:D$537,2,)</f>
        <v>Lychee in Syrup 荔枝</v>
      </c>
      <c r="E18" s="487"/>
      <c r="F18" s="487"/>
      <c r="G18" s="76">
        <v>3</v>
      </c>
      <c r="H18" s="183" t="str">
        <f>VLOOKUP(C18,'Sales Master'!$B$3:$F$2420,5,0)</f>
        <v>12can/箱</v>
      </c>
      <c r="I18" s="513" t="str">
        <f>VLOOKUP(C18,'Sales Master'!$B$3:$E$2420,4,0)</f>
        <v>MiLi</v>
      </c>
      <c r="J18" s="513"/>
      <c r="K18" s="83">
        <f>VLOOKUP(C18,'Sales Master'!B$3:I$537,8,0)</f>
        <v>26.5</v>
      </c>
      <c r="L18" s="84">
        <f>K18*G18</f>
        <v>79.5</v>
      </c>
      <c r="N18" s="145">
        <f>VLOOKUP(C18,'Sales Master'!$B$3:$DA$2279,104,0)</f>
        <v>20</v>
      </c>
      <c r="O18" s="145">
        <f>K18-N18</f>
        <v>6.5</v>
      </c>
      <c r="P18" s="145">
        <f>O18*G18</f>
        <v>19.5</v>
      </c>
      <c r="R18" s="170">
        <f>N18*G18*0.07</f>
        <v>4.2</v>
      </c>
      <c r="S18" s="170">
        <f>N18*G18*0.08</f>
        <v>4.8</v>
      </c>
      <c r="T18" s="93"/>
      <c r="U18" s="93"/>
      <c r="V18" s="93"/>
    </row>
    <row r="19" spans="2:22" ht="20.149999999999999" customHeight="1" x14ac:dyDescent="0.45">
      <c r="B19" s="29"/>
      <c r="C19" s="17"/>
      <c r="D19" s="487"/>
      <c r="E19" s="487"/>
      <c r="F19" s="487"/>
      <c r="G19" s="76"/>
      <c r="H19" s="183"/>
      <c r="I19" s="513"/>
      <c r="J19" s="513"/>
      <c r="K19" s="83"/>
      <c r="L19" s="84"/>
      <c r="N19" s="145"/>
      <c r="O19" s="145"/>
      <c r="P19" s="145"/>
    </row>
    <row r="20" spans="2:22" ht="20.149999999999999" customHeight="1" x14ac:dyDescent="0.45">
      <c r="B20" s="29"/>
      <c r="C20" s="17"/>
      <c r="D20" s="487"/>
      <c r="E20" s="487"/>
      <c r="F20" s="487"/>
      <c r="G20" s="76"/>
      <c r="H20" s="183"/>
      <c r="I20" s="513"/>
      <c r="J20" s="513"/>
      <c r="K20" s="83"/>
      <c r="L20" s="84"/>
      <c r="N20" s="145"/>
      <c r="O20" s="145"/>
      <c r="P20" s="145"/>
      <c r="R20" s="170">
        <f>N20*G20*0.07</f>
        <v>0</v>
      </c>
    </row>
    <row r="21" spans="2:22" ht="20.149999999999999" customHeight="1" x14ac:dyDescent="0.45">
      <c r="B21" s="29"/>
      <c r="C21" s="17"/>
      <c r="D21" s="487"/>
      <c r="E21" s="487"/>
      <c r="F21" s="487"/>
      <c r="G21" s="76"/>
      <c r="H21" s="183"/>
      <c r="I21" s="513"/>
      <c r="J21" s="513"/>
      <c r="K21" s="83"/>
      <c r="L21" s="84"/>
      <c r="N21" s="145"/>
      <c r="O21" s="145"/>
      <c r="P21" s="145"/>
    </row>
    <row r="22" spans="2:22" ht="20.149999999999999" customHeight="1" x14ac:dyDescent="0.45">
      <c r="B22" s="29"/>
      <c r="C22" s="17"/>
      <c r="G22" s="76"/>
      <c r="H22" s="56"/>
      <c r="I22" s="56"/>
      <c r="J22" s="56"/>
      <c r="K22" s="30"/>
      <c r="L22" s="31"/>
    </row>
    <row r="23" spans="2:22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31"/>
    </row>
    <row r="24" spans="2:22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31"/>
    </row>
    <row r="25" spans="2:22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31"/>
    </row>
    <row r="26" spans="2:22" ht="20.149999999999999" customHeight="1" x14ac:dyDescent="0.45">
      <c r="B26" s="29"/>
      <c r="C26" s="17"/>
      <c r="D26" s="487"/>
      <c r="E26" s="487"/>
      <c r="F26" s="487"/>
      <c r="G26" s="76"/>
      <c r="H26" s="56"/>
      <c r="I26" s="494"/>
      <c r="J26" s="494"/>
      <c r="K26" s="30"/>
      <c r="L26" s="31"/>
    </row>
    <row r="27" spans="2:22" ht="20.149999999999999" customHeight="1" x14ac:dyDescent="0.45">
      <c r="B27" s="29"/>
      <c r="C27" s="17"/>
      <c r="D27" s="487"/>
      <c r="E27" s="487"/>
      <c r="F27" s="487"/>
      <c r="G27" s="76"/>
      <c r="H27" s="56"/>
      <c r="I27" s="494"/>
      <c r="J27" s="494"/>
      <c r="K27" s="30"/>
      <c r="L27" s="31"/>
    </row>
    <row r="28" spans="2:22" ht="20.149999999999999" customHeight="1" x14ac:dyDescent="0.45">
      <c r="B28" s="104"/>
      <c r="C28" s="105"/>
      <c r="D28" s="514"/>
      <c r="E28" s="514"/>
      <c r="F28" s="514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SUM(L18:L29)</f>
        <v>79.5</v>
      </c>
      <c r="M30" s="63">
        <f>SUM(P18:P30)</f>
        <v>19.5</v>
      </c>
      <c r="N30" s="133">
        <f>M30/L30</f>
        <v>0.24528301886792453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79.5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7.1549999999999994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86.655000000000001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666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7">
    <mergeCell ref="D25:F25"/>
    <mergeCell ref="I25:J25"/>
    <mergeCell ref="J32:K32"/>
    <mergeCell ref="J34:K34"/>
    <mergeCell ref="D26:F26"/>
    <mergeCell ref="I26:J26"/>
    <mergeCell ref="D27:F27"/>
    <mergeCell ref="I27:J27"/>
    <mergeCell ref="D28:F28"/>
    <mergeCell ref="J30:K30"/>
    <mergeCell ref="D21:F21"/>
    <mergeCell ref="I21:J21"/>
    <mergeCell ref="D23:F23"/>
    <mergeCell ref="I23:J23"/>
    <mergeCell ref="D24:F24"/>
    <mergeCell ref="I24:J24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47" priority="1"/>
  </conditionalFormatting>
  <conditionalFormatting sqref="C19:C22">
    <cfRule type="duplicateValues" dxfId="146" priority="4"/>
  </conditionalFormatting>
  <conditionalFormatting sqref="C23">
    <cfRule type="duplicateValues" dxfId="145" priority="5"/>
  </conditionalFormatting>
  <conditionalFormatting sqref="C24">
    <cfRule type="duplicateValues" dxfId="144" priority="3"/>
  </conditionalFormatting>
  <conditionalFormatting sqref="C25">
    <cfRule type="duplicateValues" dxfId="143" priority="2"/>
  </conditionalFormatting>
  <conditionalFormatting sqref="C27">
    <cfRule type="duplicateValues" dxfId="142" priority="6"/>
  </conditionalFormatting>
  <pageMargins left="0.70866141732283472" right="0.31496062992125984" top="0.23622047244094491" bottom="0.23622047244094491" header="0.31496062992125984" footer="0.31496062992125984"/>
  <pageSetup paperSize="9" scale="77" orientation="portrait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5925D-05C9-4DD4-B909-201BB7AD03B9}">
  <sheetPr codeName="Sheet48">
    <tabColor rgb="FFFFC000"/>
    <pageSetUpPr fitToPage="1"/>
  </sheetPr>
  <dimension ref="B1:P42"/>
  <sheetViews>
    <sheetView topLeftCell="B9" workbookViewId="0">
      <selection activeCell="H20" sqref="H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1049</v>
      </c>
      <c r="J10" s="24" t="s">
        <v>27</v>
      </c>
      <c r="K10" s="464">
        <v>202412360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 PTE LTD - Dim Sum                                    BLK 671, Edgefield Plains  #01-01                  Singapore 820671              </v>
      </c>
      <c r="G11" s="470"/>
      <c r="H11" s="471"/>
      <c r="J11" s="26" t="s">
        <v>9</v>
      </c>
      <c r="K11" s="478">
        <v>45643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 t="s">
        <v>777</v>
      </c>
      <c r="D18" s="583" t="str">
        <f>VLOOKUP(C18,'Sales Master'!B$3:D$537,2,)</f>
        <v>Sweet Potato Powder 番薯粉</v>
      </c>
      <c r="E18" s="583"/>
      <c r="F18" s="583"/>
      <c r="G18" s="17">
        <v>2</v>
      </c>
      <c r="H18" s="56" t="str">
        <f>VLOOKUP(C18,'Sales Master'!$B$3:$F$2488,5,0)</f>
        <v>(500gm x 20Pkt)包</v>
      </c>
      <c r="I18" s="494" t="str">
        <f>VLOOKUP(C18,'Sales Master'!$B$3:$E$2488,4,0)</f>
        <v>RE-PACK</v>
      </c>
      <c r="J18" s="494"/>
      <c r="K18" s="30">
        <f>VLOOKUP(C18,'Sales Master'!$B$3:$J$537,9,0)</f>
        <v>32</v>
      </c>
      <c r="L18" s="31">
        <f>K18*G18</f>
        <v>64</v>
      </c>
      <c r="N18" s="145">
        <f>VLOOKUP(C18,'Sales Master'!$B$3:$DA$2279,104,0)</f>
        <v>24.8</v>
      </c>
      <c r="O18" s="145">
        <f>K18-N18</f>
        <v>7.1999999999999993</v>
      </c>
      <c r="P18" s="145">
        <f>O18*G18</f>
        <v>14.399999999999999</v>
      </c>
    </row>
    <row r="19" spans="2:16" ht="20.149999999999999" customHeight="1" x14ac:dyDescent="0.45">
      <c r="B19" s="29"/>
      <c r="C19" s="17"/>
      <c r="D19" s="487"/>
      <c r="E19" s="487"/>
      <c r="F19" s="487"/>
      <c r="G19" s="17"/>
      <c r="H19" s="56"/>
      <c r="I19" s="494"/>
      <c r="J19" s="494"/>
      <c r="K19" s="30"/>
      <c r="L19" s="31"/>
    </row>
    <row r="20" spans="2:16" ht="20.149999999999999" customHeight="1" x14ac:dyDescent="0.45">
      <c r="B20" s="29"/>
      <c r="C20" s="17"/>
      <c r="D20" s="487"/>
      <c r="E20" s="487"/>
      <c r="F20" s="487"/>
      <c r="G20" s="17"/>
      <c r="H20" s="56"/>
      <c r="I20" s="494"/>
      <c r="J20" s="494"/>
      <c r="K20" s="30"/>
      <c r="L20" s="31"/>
    </row>
    <row r="21" spans="2:16" ht="20.149999999999999" customHeight="1" x14ac:dyDescent="0.45">
      <c r="B21" s="29"/>
      <c r="C21" s="17"/>
      <c r="D21" s="487"/>
      <c r="E21" s="487"/>
      <c r="F21" s="487"/>
      <c r="G21" s="17"/>
      <c r="H21" s="56"/>
      <c r="I21" s="494"/>
      <c r="J21" s="494"/>
      <c r="K21" s="30"/>
      <c r="L21" s="31"/>
    </row>
    <row r="22" spans="2:16" ht="20.149999999999999" customHeight="1" x14ac:dyDescent="0.45">
      <c r="B22" s="29"/>
      <c r="C22" s="17"/>
      <c r="D22" s="487"/>
      <c r="E22" s="487"/>
      <c r="F22" s="487"/>
      <c r="G22" s="17"/>
      <c r="H22" s="56"/>
      <c r="I22" s="458"/>
      <c r="J22" s="458"/>
      <c r="K22" s="30"/>
      <c r="L22" s="31"/>
    </row>
    <row r="23" spans="2:16" ht="20.149999999999999" customHeight="1" x14ac:dyDescent="0.45">
      <c r="B23" s="29"/>
      <c r="C23" s="17"/>
      <c r="D23" s="487"/>
      <c r="E23" s="487"/>
      <c r="F23" s="487"/>
      <c r="G23" s="17"/>
      <c r="H23" s="56"/>
      <c r="I23" s="458"/>
      <c r="J23" s="458"/>
      <c r="K23" s="30"/>
      <c r="L23" s="31"/>
    </row>
    <row r="24" spans="2:16" ht="20.149999999999999" customHeight="1" x14ac:dyDescent="0.45">
      <c r="B24" s="29"/>
      <c r="C24" s="17"/>
      <c r="G24" s="17"/>
      <c r="H24" s="56"/>
      <c r="I24" s="458"/>
      <c r="J24" s="458"/>
      <c r="K24" s="30"/>
      <c r="L24" s="31"/>
    </row>
    <row r="25" spans="2:16" ht="20.149999999999999" customHeight="1" x14ac:dyDescent="0.45">
      <c r="B25" s="29"/>
      <c r="C25" s="17"/>
      <c r="D25" s="487"/>
      <c r="E25" s="487"/>
      <c r="F25" s="487"/>
      <c r="G25" s="17"/>
      <c r="H25" s="56"/>
      <c r="I25" s="56"/>
      <c r="J25" s="17"/>
      <c r="K25" s="30"/>
      <c r="L25" s="31"/>
    </row>
    <row r="26" spans="2:16" ht="20.149999999999999" customHeight="1" x14ac:dyDescent="0.45">
      <c r="B26" s="29"/>
      <c r="C26" s="17"/>
      <c r="D26" s="487"/>
      <c r="E26" s="487"/>
      <c r="F26" s="487"/>
      <c r="G26" s="17"/>
      <c r="H26" s="56"/>
      <c r="I26" s="56"/>
      <c r="J26" s="17"/>
      <c r="K26" s="30"/>
      <c r="L26" s="31"/>
    </row>
    <row r="27" spans="2:16" ht="20.149999999999999" customHeight="1" x14ac:dyDescent="0.45">
      <c r="B27" s="29"/>
      <c r="C27" s="17"/>
      <c r="D27" s="487"/>
      <c r="E27" s="487"/>
      <c r="F27" s="487"/>
      <c r="G27" s="17"/>
      <c r="H27" s="17"/>
      <c r="I27" s="17"/>
      <c r="J27" s="17"/>
      <c r="K27" s="30"/>
      <c r="L27" s="31"/>
    </row>
    <row r="28" spans="2:16" ht="20.149999999999999" customHeight="1" thickBot="1" x14ac:dyDescent="0.5">
      <c r="B28" s="32"/>
      <c r="C28" s="33"/>
      <c r="D28" s="488"/>
      <c r="E28" s="488"/>
      <c r="F28" s="488"/>
      <c r="G28" s="33"/>
      <c r="H28" s="33"/>
      <c r="I28" s="33"/>
      <c r="J28" s="33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SUM(L17:L28)</f>
        <v>64</v>
      </c>
      <c r="M30" s="63">
        <f>SUM(P18:P27)-L30*0.02</f>
        <v>13.12</v>
      </c>
      <c r="N30" s="133">
        <f>M30/L30</f>
        <v>0.20499999999999999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64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5.76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69.760000000000005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5">
    <mergeCell ref="D28:F28"/>
    <mergeCell ref="J30:K30"/>
    <mergeCell ref="J32:K32"/>
    <mergeCell ref="J34:K34"/>
    <mergeCell ref="D25:F25"/>
    <mergeCell ref="D26:F26"/>
    <mergeCell ref="D27:F27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I24:J24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59055118110236227" bottom="0" header="0.31496062992125984" footer="0.31496062992125984"/>
  <pageSetup paperSize="9" scale="79" orientation="portrait" horizontalDpi="300" verticalDpi="300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3AF4A-49AC-4154-A739-D61DB0A66BAC}">
  <sheetPr codeName="Sheet20">
    <tabColor rgb="FFFFC000"/>
    <pageSetUpPr fitToPage="1"/>
  </sheetPr>
  <dimension ref="B1:P48"/>
  <sheetViews>
    <sheetView topLeftCell="B15" zoomScaleNormal="100" workbookViewId="0">
      <selection activeCell="K42" sqref="K42"/>
    </sheetView>
  </sheetViews>
  <sheetFormatPr defaultColWidth="12.54296875" defaultRowHeight="18.5" x14ac:dyDescent="0.45"/>
  <cols>
    <col min="1" max="1" width="12.54296875" style="19"/>
    <col min="2" max="2" width="15.54296875" style="19" customWidth="1"/>
    <col min="3" max="3" width="11.54296875" style="19" customWidth="1"/>
    <col min="4" max="4" width="12.54296875" style="19" customWidth="1"/>
    <col min="5" max="5" width="1.54296875" style="19" customWidth="1"/>
    <col min="6" max="6" width="22.26953125" style="19" customWidth="1"/>
    <col min="7" max="7" width="8.54296875" style="19" customWidth="1"/>
    <col min="8" max="8" width="16.36328125" style="19" customWidth="1"/>
    <col min="9" max="9" width="1.54296875" style="19" customWidth="1"/>
    <col min="10" max="10" width="14.453125" style="19" customWidth="1"/>
    <col min="11" max="11" width="11.453125" style="19" customWidth="1"/>
    <col min="12" max="12" width="13.3632812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1053</v>
      </c>
      <c r="J10" s="24" t="s">
        <v>27</v>
      </c>
      <c r="K10" s="464">
        <v>202501255</v>
      </c>
      <c r="L10" s="465"/>
    </row>
    <row r="11" spans="2:12" ht="20.149999999999999" customHeight="1" x14ac:dyDescent="0.45">
      <c r="B11" s="466"/>
      <c r="C11" s="467"/>
      <c r="D11" s="468"/>
      <c r="E11" s="25"/>
      <c r="F11" s="469" t="str">
        <f>VLOOKUP(H10,'Delivery Location'!A$4:N$466,2,0)</f>
        <v xml:space="preserve">Dessert Stall 10                                          Catholic Junior College.                                  129 Whitley Road                                     Singapore 297822                                                                                      </v>
      </c>
      <c r="G11" s="470"/>
      <c r="H11" s="471"/>
      <c r="J11" s="26" t="s">
        <v>9</v>
      </c>
      <c r="K11" s="478">
        <v>45668</v>
      </c>
      <c r="L11" s="479"/>
    </row>
    <row r="12" spans="2:12" ht="20.149999999999999" customHeight="1" x14ac:dyDescent="0.45">
      <c r="B12" s="480" t="s">
        <v>1055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 t="s">
        <v>1349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1054</v>
      </c>
      <c r="L13" s="483"/>
    </row>
    <row r="14" spans="2:12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0"/>
      <c r="C15" s="51"/>
      <c r="D15" s="52"/>
      <c r="E15" s="21"/>
      <c r="F15" s="475"/>
      <c r="G15" s="476"/>
      <c r="H15" s="477"/>
      <c r="J15" s="27" t="s">
        <v>680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7" t="s">
        <v>386</v>
      </c>
      <c r="I17" s="584" t="s">
        <v>385</v>
      </c>
      <c r="J17" s="585"/>
      <c r="K17" s="8" t="s">
        <v>5</v>
      </c>
      <c r="L17" s="9" t="s">
        <v>6</v>
      </c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1309</v>
      </c>
      <c r="D18" s="487" t="str">
        <f>VLOOKUP(C18,'Sales Master'!B$3:D$537,2,)</f>
        <v>Passion Fruit Puree 百香果酱</v>
      </c>
      <c r="E18" s="487"/>
      <c r="F18" s="487"/>
      <c r="G18" s="17">
        <v>2</v>
      </c>
      <c r="H18" s="210" t="str">
        <f>VLOOKUP(C18,'Sales Master'!$B$3:$E$537,4,0)</f>
        <v>-</v>
      </c>
      <c r="I18" s="587" t="str">
        <f>VLOOKUP(C18,'Sales Master'!$B$3:F$537,5,0)</f>
        <v>1 KG/ Box盒</v>
      </c>
      <c r="J18" s="587"/>
      <c r="K18" s="80">
        <f>VLOOKUP(C18,'Sales Master'!$B$3:$BY$2281,76,0)</f>
        <v>10</v>
      </c>
      <c r="L18" s="64">
        <f t="shared" ref="L18:L20" si="0">K18*G18</f>
        <v>20</v>
      </c>
      <c r="N18" s="145">
        <f>VLOOKUP(C18,'Sales Master'!$B$3:$DA$2279,104,0)</f>
        <v>4.8</v>
      </c>
      <c r="O18" s="145">
        <f t="shared" ref="O18:O20" si="1">K18-N18</f>
        <v>5.2</v>
      </c>
      <c r="P18" s="145">
        <f t="shared" ref="P18:P20" si="2">O18*G18</f>
        <v>10.4</v>
      </c>
    </row>
    <row r="19" spans="2:16" ht="20.149999999999999" customHeight="1" x14ac:dyDescent="0.45">
      <c r="B19" s="29"/>
      <c r="C19" s="212" t="s">
        <v>703</v>
      </c>
      <c r="D19" s="487" t="str">
        <f>VLOOKUP(C19,'Sales Master'!B$3:D$537,2,)</f>
        <v>Mango Puree 芒果酱</v>
      </c>
      <c r="E19" s="487"/>
      <c r="F19" s="487"/>
      <c r="G19" s="17">
        <v>6</v>
      </c>
      <c r="H19" s="210" t="str">
        <f>VLOOKUP(C19,'Sales Master'!$B$3:$E$537,4,0)</f>
        <v>DO!</v>
      </c>
      <c r="I19" s="587" t="str">
        <f>VLOOKUP(C19,'Sales Master'!$B$3:F$537,5,0)</f>
        <v>1 KG/ Box盒</v>
      </c>
      <c r="J19" s="587"/>
      <c r="K19" s="80">
        <f>VLOOKUP(C19,'Sales Master'!$B$3:$BY$2281,76,0)</f>
        <v>8</v>
      </c>
      <c r="L19" s="64">
        <f t="shared" si="0"/>
        <v>48</v>
      </c>
      <c r="N19" s="145">
        <f>VLOOKUP(C19,'Sales Master'!$B$3:$DA$2279,104,0)</f>
        <v>2.15</v>
      </c>
      <c r="O19" s="145">
        <f t="shared" si="1"/>
        <v>5.85</v>
      </c>
      <c r="P19" s="145">
        <f t="shared" si="2"/>
        <v>35.099999999999994</v>
      </c>
    </row>
    <row r="20" spans="2:16" ht="20.149999999999999" customHeight="1" x14ac:dyDescent="0.45">
      <c r="B20" s="29"/>
      <c r="C20" s="212" t="s">
        <v>704</v>
      </c>
      <c r="D20" s="487" t="str">
        <f>VLOOKUP(C20,'Sales Master'!B$3:D$537,2,)</f>
        <v>Strawberry Puree 草莓</v>
      </c>
      <c r="E20" s="487"/>
      <c r="F20" s="487"/>
      <c r="G20" s="17">
        <v>2</v>
      </c>
      <c r="H20" s="210" t="str">
        <f>VLOOKUP(C20,'Sales Master'!$B$3:$E$537,4,0)</f>
        <v>DO!</v>
      </c>
      <c r="I20" s="587" t="str">
        <f>VLOOKUP(C20,'Sales Master'!$B$3:F$537,5,0)</f>
        <v>1 KG/ Box盒</v>
      </c>
      <c r="J20" s="587"/>
      <c r="K20" s="80">
        <f>VLOOKUP(C20,'Sales Master'!$B$3:$BY$2281,76,0)</f>
        <v>9</v>
      </c>
      <c r="L20" s="64">
        <f t="shared" si="0"/>
        <v>18</v>
      </c>
      <c r="N20" s="145">
        <f>VLOOKUP(C20,'Sales Master'!$B$3:$DA$2279,104,0)</f>
        <v>4.68</v>
      </c>
      <c r="O20" s="145">
        <f t="shared" si="1"/>
        <v>4.32</v>
      </c>
      <c r="P20" s="145">
        <f t="shared" si="2"/>
        <v>8.64</v>
      </c>
    </row>
    <row r="21" spans="2:16" ht="20.149999999999999" customHeight="1" x14ac:dyDescent="0.45">
      <c r="B21" s="29"/>
      <c r="C21" s="212" t="s">
        <v>701</v>
      </c>
      <c r="D21" s="487" t="str">
        <f>VLOOKUP(C21,'Sales Master'!B$3:D$537,2,)</f>
        <v>Fresh Soursop Seedless 红毛榴莲(无)</v>
      </c>
      <c r="E21" s="487"/>
      <c r="F21" s="487"/>
      <c r="G21" s="17">
        <v>2</v>
      </c>
      <c r="H21" s="210" t="str">
        <f>VLOOKUP(C21,'Sales Master'!$B$3:$E$537,4,0)</f>
        <v>DO!</v>
      </c>
      <c r="I21" s="587" t="str">
        <f>VLOOKUP(C21,'Sales Master'!$B$3:F$537,5,0)</f>
        <v>GW:1 KG/ Box盒</v>
      </c>
      <c r="J21" s="587"/>
      <c r="K21" s="80">
        <f>VLOOKUP(C21,'Sales Master'!$B$3:$BY$2281,76,0)</f>
        <v>10</v>
      </c>
      <c r="L21" s="64">
        <f t="shared" ref="L21" si="3">K21*G21</f>
        <v>20</v>
      </c>
      <c r="N21" s="145"/>
      <c r="O21" s="145"/>
      <c r="P21" s="145"/>
    </row>
    <row r="22" spans="2:16" ht="20.149999999999999" customHeight="1" x14ac:dyDescent="0.45">
      <c r="B22" s="29"/>
      <c r="C22" s="212" t="s">
        <v>1051</v>
      </c>
      <c r="D22" s="487" t="str">
        <f>VLOOKUP(C22,'Sales Master'!B$3:D$537,2,)</f>
        <v>Citrus Plum Concentrate Juice 柑桔梅子汁</v>
      </c>
      <c r="E22" s="487"/>
      <c r="F22" s="487"/>
      <c r="G22" s="17">
        <v>4</v>
      </c>
      <c r="H22" s="210" t="str">
        <f>VLOOKUP(C22,'Sales Master'!$B$3:$E$537,4,0)</f>
        <v>-</v>
      </c>
      <c r="I22" s="587" t="str">
        <f>VLOOKUP(C22,'Sales Master'!$B$3:F$537,5,0)</f>
        <v>1 KG/ Pkt包</v>
      </c>
      <c r="J22" s="587"/>
      <c r="K22" s="80">
        <f>VLOOKUP(C22,'Sales Master'!$B$3:$BY$2281,76,0)</f>
        <v>8</v>
      </c>
      <c r="L22" s="64">
        <f t="shared" ref="L22" si="4">K22*G22</f>
        <v>32</v>
      </c>
      <c r="N22" s="145"/>
      <c r="O22" s="145"/>
      <c r="P22" s="145"/>
    </row>
    <row r="23" spans="2:16" ht="20.149999999999999" customHeight="1" x14ac:dyDescent="0.45">
      <c r="B23" s="29"/>
      <c r="C23" s="212" t="s">
        <v>807</v>
      </c>
      <c r="D23" s="487" t="str">
        <f>VLOOKUP(C23,'Sales Master'!B$3:D$537,2,)</f>
        <v>Chin Chow  仙草</v>
      </c>
      <c r="E23" s="487"/>
      <c r="F23" s="487"/>
      <c r="G23" s="17">
        <v>2</v>
      </c>
      <c r="H23" s="210" t="str">
        <f>VLOOKUP(C23,'Sales Master'!$B$3:$E$537,4,0)</f>
        <v>TSM</v>
      </c>
      <c r="I23" s="587" t="str">
        <f>VLOOKUP(C23,'Sales Master'!$B$3:F$537,5,0)</f>
        <v>4 KG/ Pkt包</v>
      </c>
      <c r="J23" s="587"/>
      <c r="K23" s="80">
        <f>VLOOKUP(C23,'Sales Master'!$B$3:$BY$2281,76,0)</f>
        <v>6</v>
      </c>
      <c r="L23" s="64">
        <f t="shared" ref="L23" si="5">K23*G23</f>
        <v>12</v>
      </c>
      <c r="N23" s="145"/>
      <c r="O23" s="145"/>
      <c r="P23" s="145"/>
    </row>
    <row r="24" spans="2:16" ht="20.149999999999999" customHeight="1" x14ac:dyDescent="0.45">
      <c r="B24" s="29"/>
      <c r="C24" s="212"/>
      <c r="D24" s="487"/>
      <c r="E24" s="487"/>
      <c r="F24" s="487"/>
      <c r="G24" s="17"/>
      <c r="H24" s="210"/>
      <c r="I24" s="587"/>
      <c r="J24" s="587"/>
      <c r="K24" s="80"/>
      <c r="L24" s="64"/>
      <c r="N24" s="145"/>
      <c r="O24" s="145"/>
      <c r="P24" s="145"/>
    </row>
    <row r="25" spans="2:16" ht="20.149999999999999" customHeight="1" x14ac:dyDescent="0.45">
      <c r="B25" s="29"/>
      <c r="C25" s="212"/>
      <c r="D25" s="487"/>
      <c r="E25" s="487"/>
      <c r="F25" s="487"/>
      <c r="G25" s="17"/>
      <c r="H25" s="210"/>
      <c r="I25" s="587"/>
      <c r="J25" s="587"/>
      <c r="K25" s="80"/>
      <c r="L25" s="64"/>
      <c r="N25" s="145"/>
      <c r="O25" s="145"/>
      <c r="P25" s="145"/>
    </row>
    <row r="26" spans="2:16" ht="20.149999999999999" customHeight="1" x14ac:dyDescent="0.45">
      <c r="B26" s="29"/>
      <c r="C26" s="212"/>
      <c r="G26" s="17"/>
      <c r="H26" s="210"/>
      <c r="I26" s="212"/>
      <c r="J26" s="212"/>
      <c r="K26" s="80"/>
      <c r="L26" s="64"/>
      <c r="N26" s="145"/>
      <c r="O26" s="145"/>
      <c r="P26" s="145"/>
    </row>
    <row r="27" spans="2:16" ht="20.149999999999999" customHeight="1" x14ac:dyDescent="0.45">
      <c r="B27" s="29"/>
      <c r="C27" s="212"/>
      <c r="G27" s="17"/>
      <c r="H27" s="210"/>
      <c r="I27" s="212"/>
      <c r="J27" s="212"/>
      <c r="K27" s="80"/>
      <c r="L27" s="64"/>
      <c r="N27" s="145"/>
      <c r="O27" s="145"/>
      <c r="P27" s="145"/>
    </row>
    <row r="28" spans="2:16" ht="20.149999999999999" customHeight="1" x14ac:dyDescent="0.45">
      <c r="B28" s="29"/>
      <c r="C28" s="18" t="s">
        <v>1218</v>
      </c>
      <c r="G28" s="17"/>
      <c r="H28" s="17"/>
      <c r="I28" s="17"/>
      <c r="J28" s="17"/>
      <c r="K28" s="80"/>
      <c r="L28" s="64"/>
      <c r="N28" s="145"/>
      <c r="O28" s="145"/>
      <c r="P28" s="145"/>
    </row>
    <row r="29" spans="2:16" ht="20.149999999999999" customHeight="1" x14ac:dyDescent="0.45">
      <c r="B29" s="29"/>
      <c r="C29" s="147" t="s">
        <v>1356</v>
      </c>
      <c r="D29" s="18"/>
      <c r="E29" s="18"/>
      <c r="F29" s="18"/>
      <c r="G29" s="56"/>
      <c r="H29" s="17"/>
      <c r="K29" s="80"/>
      <c r="L29" s="64"/>
      <c r="N29" s="145"/>
      <c r="O29" s="145"/>
      <c r="P29" s="145"/>
    </row>
    <row r="30" spans="2:16" ht="20.149999999999999" customHeight="1" x14ac:dyDescent="0.45">
      <c r="B30" s="29"/>
      <c r="C30" s="147" t="s">
        <v>1303</v>
      </c>
      <c r="G30" s="56"/>
      <c r="H30" s="56"/>
      <c r="I30" s="85"/>
      <c r="J30" s="85"/>
      <c r="K30" s="152"/>
      <c r="L30" s="137"/>
      <c r="N30" s="145"/>
      <c r="O30" s="145"/>
      <c r="P30" s="145"/>
    </row>
    <row r="31" spans="2:16" ht="20.149999999999999" customHeight="1" x14ac:dyDescent="0.45">
      <c r="B31" s="29"/>
      <c r="C31" s="56"/>
      <c r="G31" s="56"/>
      <c r="H31" s="56"/>
      <c r="I31" s="85"/>
      <c r="J31" s="85"/>
      <c r="K31" s="152"/>
      <c r="L31" s="137"/>
    </row>
    <row r="32" spans="2:16" ht="20.149999999999999" customHeight="1" x14ac:dyDescent="0.45">
      <c r="B32" s="29"/>
      <c r="C32" s="586"/>
      <c r="D32" s="586"/>
      <c r="E32" s="586"/>
      <c r="F32" s="147"/>
      <c r="G32" s="76"/>
      <c r="H32" s="56"/>
      <c r="I32" s="56"/>
      <c r="J32" s="56"/>
      <c r="K32" s="150"/>
      <c r="L32" s="137"/>
    </row>
    <row r="33" spans="2:14" ht="20.149999999999999" customHeight="1" x14ac:dyDescent="0.45">
      <c r="B33" s="29"/>
      <c r="C33" s="147"/>
      <c r="D33" s="487"/>
      <c r="E33" s="487"/>
      <c r="F33" s="487"/>
      <c r="G33" s="17"/>
      <c r="H33" s="17"/>
      <c r="I33" s="458"/>
      <c r="J33" s="458"/>
      <c r="K33" s="80"/>
      <c r="L33" s="137"/>
    </row>
    <row r="34" spans="2:14" ht="20.149999999999999" customHeight="1" thickBot="1" x14ac:dyDescent="0.5">
      <c r="B34" s="32"/>
      <c r="C34" s="57"/>
      <c r="D34" s="588"/>
      <c r="E34" s="588"/>
      <c r="F34" s="588"/>
      <c r="G34" s="57"/>
      <c r="H34" s="57"/>
      <c r="I34" s="530"/>
      <c r="J34" s="530"/>
      <c r="K34" s="159"/>
      <c r="L34" s="160"/>
    </row>
    <row r="35" spans="2:14" ht="20.149999999999999" customHeight="1" thickBot="1" x14ac:dyDescent="0.5">
      <c r="B35" s="36"/>
      <c r="L35" s="37"/>
    </row>
    <row r="36" spans="2:14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89" t="s">
        <v>13</v>
      </c>
      <c r="K36" s="490"/>
      <c r="L36" s="38">
        <f>SUM(L18:L35)</f>
        <v>150</v>
      </c>
      <c r="M36" s="63">
        <f>SUM(P18:P35)</f>
        <v>54.139999999999993</v>
      </c>
      <c r="N36" s="133">
        <f>M36/L36</f>
        <v>0.36093333333333327</v>
      </c>
    </row>
    <row r="37" spans="2:14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4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91" t="s">
        <v>19</v>
      </c>
      <c r="K38" s="492"/>
      <c r="L38" s="41">
        <f>L36-L37</f>
        <v>150</v>
      </c>
    </row>
    <row r="39" spans="2:14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13.5</v>
      </c>
    </row>
    <row r="40" spans="2:14" ht="20.149999999999999" customHeight="1" thickBot="1" x14ac:dyDescent="0.5">
      <c r="B40" s="10" t="s">
        <v>676</v>
      </c>
      <c r="C40" s="6"/>
      <c r="D40" s="6"/>
      <c r="E40" s="6"/>
      <c r="F40" s="6"/>
      <c r="G40" s="6"/>
      <c r="H40" s="6"/>
      <c r="I40" s="6"/>
      <c r="J40" s="485" t="s">
        <v>21</v>
      </c>
      <c r="K40" s="486"/>
      <c r="L40" s="43">
        <f>L38+L39</f>
        <v>163.5</v>
      </c>
    </row>
    <row r="41" spans="2:14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 t="s">
        <v>439</v>
      </c>
    </row>
    <row r="42" spans="2:14" ht="20.149999999999999" customHeight="1" x14ac:dyDescent="0.45">
      <c r="B42" s="144" t="s">
        <v>666</v>
      </c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J44" s="45"/>
      <c r="K44" s="45"/>
      <c r="L44" s="46"/>
    </row>
    <row r="45" spans="2:14" ht="20.149999999999999" customHeight="1" x14ac:dyDescent="0.45">
      <c r="B45" s="36"/>
      <c r="J45" s="19" t="s">
        <v>26</v>
      </c>
      <c r="L45" s="37"/>
    </row>
    <row r="46" spans="2:14" ht="20.149999999999999" customHeight="1" x14ac:dyDescent="0.45">
      <c r="B46" s="44"/>
      <c r="C46" s="45"/>
      <c r="D46" s="45"/>
      <c r="J46" s="19" t="s">
        <v>690</v>
      </c>
      <c r="L46" s="37"/>
    </row>
    <row r="47" spans="2:14" ht="20.149999999999999" customHeight="1" x14ac:dyDescent="0.45">
      <c r="B47" s="36" t="s">
        <v>25</v>
      </c>
      <c r="J47" s="19" t="s">
        <v>691</v>
      </c>
      <c r="L47" s="37"/>
    </row>
    <row r="48" spans="2:14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38">
    <mergeCell ref="D33:F33"/>
    <mergeCell ref="I33:J33"/>
    <mergeCell ref="D18:F18"/>
    <mergeCell ref="I18:J18"/>
    <mergeCell ref="D21:F21"/>
    <mergeCell ref="I21:J21"/>
    <mergeCell ref="D20:F20"/>
    <mergeCell ref="I20:J20"/>
    <mergeCell ref="I23:J23"/>
    <mergeCell ref="D23:F23"/>
    <mergeCell ref="D22:F22"/>
    <mergeCell ref="D19:F19"/>
    <mergeCell ref="I22:J22"/>
    <mergeCell ref="I19:J19"/>
    <mergeCell ref="D24:F24"/>
    <mergeCell ref="I24:J24"/>
    <mergeCell ref="J40:K40"/>
    <mergeCell ref="D34:F34"/>
    <mergeCell ref="I34:J34"/>
    <mergeCell ref="J36:K36"/>
    <mergeCell ref="J38:K3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C32:E32"/>
    <mergeCell ref="D25:F25"/>
    <mergeCell ref="I25:J25"/>
  </mergeCells>
  <conditionalFormatting sqref="C32">
    <cfRule type="duplicateValues" dxfId="141" priority="3"/>
  </conditionalFormatting>
  <pageMargins left="0.70866141732283472" right="0.31496062992125984" top="0.59055118110236227" bottom="0" header="0.31496062992125984" footer="0.31496062992125984"/>
  <pageSetup paperSize="9" scale="71" orientation="portrait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752A4-B627-46C2-9E04-8A809D5E6273}">
  <sheetPr codeName="Sheet49">
    <tabColor rgb="FFFFC000"/>
    <pageSetUpPr fitToPage="1"/>
  </sheetPr>
  <dimension ref="B1:P41"/>
  <sheetViews>
    <sheetView topLeftCell="B9" workbookViewId="0">
      <selection activeCell="C20" sqref="C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8.632812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1057</v>
      </c>
      <c r="J10" s="24" t="s">
        <v>27</v>
      </c>
      <c r="K10" s="464">
        <v>202504012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 Pte Ltd - Drink Stall                                          Republic Polytechnic. South Foodcourt                                           31 Woodland Ave 9                                  Singapore 737909                                                                            </v>
      </c>
      <c r="G11" s="470"/>
      <c r="H11" s="471"/>
      <c r="J11" s="26" t="s">
        <v>9</v>
      </c>
      <c r="K11" s="478">
        <v>45748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930</v>
      </c>
      <c r="D18" s="487" t="str">
        <f>VLOOKUP(C18,'Sales Master'!B$3:D$537,2,)</f>
        <v>Longan in Syrup 龙眼</v>
      </c>
      <c r="E18" s="487"/>
      <c r="F18" s="487"/>
      <c r="G18" s="17">
        <v>2</v>
      </c>
      <c r="H18" s="186" t="str">
        <f>VLOOKUP(C18,'Sales Master'!$B$3:$F$2488,5,0)</f>
        <v>(565gm x 12)/ Ctn箱</v>
      </c>
      <c r="I18" s="484" t="str">
        <f>VLOOKUP(C18,'Sales Master'!$B$3:$E$2488,4,0)</f>
        <v>YiFong</v>
      </c>
      <c r="J18" s="484"/>
      <c r="K18" s="30">
        <f>VLOOKUP(C18,'Sales Master'!$B$3:$J$537,9,0)</f>
        <v>24</v>
      </c>
      <c r="L18" s="31">
        <f>K18*G18</f>
        <v>48</v>
      </c>
      <c r="N18" s="145">
        <f>VLOOKUP(C18,'Sales Master'!$B$3:$DA$2279,104,0)</f>
        <v>19.534883720930232</v>
      </c>
      <c r="O18" s="145">
        <f>K18-N18</f>
        <v>4.4651162790697683</v>
      </c>
      <c r="P18" s="145">
        <f>O18*G18</f>
        <v>8.9302325581395365</v>
      </c>
    </row>
    <row r="19" spans="2:16" ht="20.149999999999999" customHeight="1" x14ac:dyDescent="0.45">
      <c r="B19" s="29"/>
      <c r="C19" s="212" t="s">
        <v>2174</v>
      </c>
      <c r="D19" s="487" t="str">
        <f>VLOOKUP(C19,'Sales Master'!B$3:D$537,2,)</f>
        <v>Lychee in Syrup 荔枝</v>
      </c>
      <c r="E19" s="487"/>
      <c r="F19" s="487"/>
      <c r="G19" s="17">
        <v>3</v>
      </c>
      <c r="H19" s="186" t="str">
        <f>VLOOKUP(C19,'Sales Master'!$B$3:$F$2488,5,0)</f>
        <v>(567gm x 12)/ Ctn箱</v>
      </c>
      <c r="I19" s="484" t="str">
        <f>VLOOKUP(C19,'Sales Master'!$B$3:$E$2488,4,0)</f>
        <v>GoldenBoy</v>
      </c>
      <c r="J19" s="484"/>
      <c r="K19" s="30">
        <f>VLOOKUP(C19,'Sales Master'!$B$3:$J$537,9,0)</f>
        <v>22</v>
      </c>
      <c r="L19" s="31">
        <f>K19*G19</f>
        <v>66</v>
      </c>
      <c r="N19" s="145">
        <f>VLOOKUP(C19,'Sales Master'!$B$3:$DA$2279,104,0)</f>
        <v>19.5</v>
      </c>
      <c r="O19" s="145">
        <f>K19-N19</f>
        <v>2.5</v>
      </c>
      <c r="P19" s="145">
        <f>O19*G19</f>
        <v>7.5</v>
      </c>
    </row>
    <row r="20" spans="2:16" ht="20.149999999999999" customHeight="1" x14ac:dyDescent="0.45">
      <c r="B20" s="29"/>
      <c r="C20" s="212"/>
      <c r="D20" s="487"/>
      <c r="E20" s="487"/>
      <c r="F20" s="487"/>
      <c r="G20" s="17"/>
      <c r="H20" s="186"/>
      <c r="I20" s="484"/>
      <c r="J20" s="484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17"/>
      <c r="D21" s="487"/>
      <c r="E21" s="487"/>
      <c r="F21" s="487"/>
      <c r="G21" s="17"/>
      <c r="H21" s="56"/>
      <c r="I21" s="458"/>
      <c r="J21" s="458"/>
      <c r="K21" s="30"/>
      <c r="L21" s="31"/>
    </row>
    <row r="22" spans="2:16" ht="20.149999999999999" customHeight="1" x14ac:dyDescent="0.45">
      <c r="B22" s="29"/>
      <c r="C22" s="17"/>
      <c r="D22" s="487"/>
      <c r="E22" s="487"/>
      <c r="F22" s="487"/>
      <c r="G22" s="17"/>
      <c r="H22" s="56"/>
      <c r="I22" s="458"/>
      <c r="J22" s="458"/>
      <c r="K22" s="30"/>
      <c r="L22" s="31"/>
    </row>
    <row r="23" spans="2:16" ht="20.149999999999999" customHeight="1" x14ac:dyDescent="0.45">
      <c r="B23" s="29"/>
      <c r="C23" s="17"/>
      <c r="G23" s="17"/>
      <c r="H23" s="56"/>
      <c r="I23" s="458"/>
      <c r="J23" s="458"/>
      <c r="K23" s="30"/>
      <c r="L23" s="31"/>
    </row>
    <row r="24" spans="2:16" ht="20.149999999999999" customHeight="1" x14ac:dyDescent="0.45">
      <c r="B24" s="29"/>
      <c r="C24" s="17"/>
      <c r="G24" s="17"/>
      <c r="H24" s="56"/>
      <c r="I24" s="458"/>
      <c r="J24" s="458"/>
      <c r="K24" s="30"/>
      <c r="L24" s="31"/>
    </row>
    <row r="25" spans="2:16" ht="20.149999999999999" customHeight="1" x14ac:dyDescent="0.45">
      <c r="B25" s="29"/>
      <c r="C25" s="17"/>
      <c r="G25" s="17"/>
      <c r="H25" s="56"/>
      <c r="I25" s="458"/>
      <c r="J25" s="458"/>
      <c r="K25" s="30"/>
      <c r="L25" s="31"/>
    </row>
    <row r="26" spans="2:16" ht="20.149999999999999" customHeight="1" x14ac:dyDescent="0.45">
      <c r="B26" s="29"/>
      <c r="C26" s="17"/>
      <c r="G26" s="17"/>
      <c r="H26" s="56"/>
      <c r="I26" s="458"/>
      <c r="J26" s="458"/>
      <c r="K26" s="30"/>
      <c r="L26" s="31"/>
    </row>
    <row r="27" spans="2:16" ht="20.149999999999999" customHeight="1" thickBot="1" x14ac:dyDescent="0.5">
      <c r="B27" s="32"/>
      <c r="C27" s="33"/>
      <c r="D27" s="488"/>
      <c r="E27" s="488"/>
      <c r="F27" s="488"/>
      <c r="G27" s="33"/>
      <c r="H27" s="33"/>
      <c r="I27" s="33"/>
      <c r="J27" s="33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89" t="s">
        <v>13</v>
      </c>
      <c r="K29" s="490"/>
      <c r="L29" s="38">
        <f>SUM(L17:L27)</f>
        <v>114</v>
      </c>
      <c r="M29" s="63">
        <f>SUM(P18:P26)</f>
        <v>16.430232558139537</v>
      </c>
      <c r="N29" s="133">
        <f>M29/L29</f>
        <v>0.14412484700122399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91" t="s">
        <v>19</v>
      </c>
      <c r="K31" s="492"/>
      <c r="L31" s="41">
        <f>L29-L30</f>
        <v>114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10.26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85" t="s">
        <v>21</v>
      </c>
      <c r="K33" s="486"/>
      <c r="L33" s="43">
        <f>L31+L32</f>
        <v>124.26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3">
    <mergeCell ref="D27:F27"/>
    <mergeCell ref="J29:K29"/>
    <mergeCell ref="J31:K31"/>
    <mergeCell ref="J33:K33"/>
    <mergeCell ref="I25:J25"/>
    <mergeCell ref="I26:J26"/>
    <mergeCell ref="D17:F17"/>
    <mergeCell ref="I17:J17"/>
    <mergeCell ref="I24:J24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F367C-1283-465F-8575-D037F346AAC3}">
  <sheetPr>
    <tabColor rgb="FFFFC000"/>
    <pageSetUpPr fitToPage="1"/>
  </sheetPr>
  <dimension ref="A1:R50"/>
  <sheetViews>
    <sheetView topLeftCell="A21" zoomScaleNormal="100" workbookViewId="0">
      <selection activeCell="H27" sqref="H27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2" width="12.6328125" style="19" customWidth="1"/>
    <col min="13" max="13" width="19.7265625" style="19" customWidth="1"/>
    <col min="14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104</v>
      </c>
      <c r="J10" s="24" t="s">
        <v>27</v>
      </c>
      <c r="K10" s="464">
        <v>202504267</v>
      </c>
      <c r="L10" s="465"/>
    </row>
    <row r="11" spans="2:12" ht="20.149999999999999" customHeight="1" x14ac:dyDescent="0.45">
      <c r="B11" s="466" t="s">
        <v>678</v>
      </c>
      <c r="C11" s="467"/>
      <c r="D11" s="468"/>
      <c r="E11" s="25"/>
      <c r="F11" s="469" t="str">
        <f>VLOOKUP(H10,'Delivery Location'!A$4:N$466,2,0)</f>
        <v>Combined Stalls                                                       1 Kim Seng Promenade #03-116.              Great World City Singapore 237994</v>
      </c>
      <c r="G11" s="470"/>
      <c r="H11" s="471"/>
      <c r="J11" s="26" t="s">
        <v>9</v>
      </c>
      <c r="K11" s="478">
        <v>45758</v>
      </c>
      <c r="L11" s="479"/>
    </row>
    <row r="12" spans="2:12" ht="20.149999999999999" customHeight="1" x14ac:dyDescent="0.45">
      <c r="B12" s="480" t="s">
        <v>524</v>
      </c>
      <c r="C12" s="453"/>
      <c r="D12" s="481"/>
      <c r="E12" s="25"/>
      <c r="F12" s="472"/>
      <c r="G12" s="473"/>
      <c r="H12" s="474"/>
      <c r="J12" s="26" t="s">
        <v>127</v>
      </c>
      <c r="K12" s="482">
        <v>4500363843</v>
      </c>
      <c r="L12" s="483"/>
    </row>
    <row r="13" spans="2:12" ht="20.149999999999999" customHeight="1" x14ac:dyDescent="0.45">
      <c r="B13" s="480" t="s">
        <v>525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609</v>
      </c>
      <c r="L13" s="483"/>
    </row>
    <row r="14" spans="2:12" ht="20.149999999999999" customHeight="1" x14ac:dyDescent="0.45">
      <c r="B14" s="480" t="s">
        <v>526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18" t="s">
        <v>527</v>
      </c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1:18" ht="20.149999999999999" customHeight="1" x14ac:dyDescent="0.45">
      <c r="A18" s="65"/>
      <c r="B18" s="58">
        <v>520695</v>
      </c>
      <c r="C18" s="212" t="str">
        <f>VLOOKUP(B18,'Sales Master'!A$3:B$537,2,0)</f>
        <v>P3001B</v>
      </c>
      <c r="D18" s="487" t="str">
        <f>VLOOKUP(C18,'Sales Master'!B$3:D$537,2,)</f>
        <v>Atap Seeds in Syrup 亚嗒子</v>
      </c>
      <c r="E18" s="487"/>
      <c r="F18" s="487"/>
      <c r="G18" s="76">
        <v>1</v>
      </c>
      <c r="H18" s="247" t="str">
        <f>VLOOKUP(C18,'Sales Master'!$B$3:$F$2420,5,0)</f>
        <v>NW(1.6:0.6) 2.2kg/ Bag包</v>
      </c>
      <c r="I18" s="513" t="str">
        <f>VLOOKUP(C18,'Sales Master'!$B$3:$E$2420,4,0)</f>
        <v>DO!</v>
      </c>
      <c r="J18" s="513"/>
      <c r="K18" s="83">
        <f>VLOOKUP(C18,'Sales Master'!B$3:I$537,8,0)</f>
        <v>10</v>
      </c>
      <c r="L18" s="84">
        <f t="shared" ref="L18" si="0">K18*G18</f>
        <v>10</v>
      </c>
      <c r="N18" s="145">
        <f>VLOOKUP(C18,'Sales Master'!$B$3:$DA$2279,104,0)</f>
        <v>7.3</v>
      </c>
      <c r="O18" s="145">
        <f t="shared" ref="O18" si="1">K18-N18</f>
        <v>2.7</v>
      </c>
      <c r="P18" s="145">
        <f t="shared" ref="P18" si="2">O18*G18</f>
        <v>2.7</v>
      </c>
      <c r="Q18" s="63"/>
      <c r="R18" s="63"/>
    </row>
    <row r="19" spans="1:18" ht="20.149999999999999" customHeight="1" x14ac:dyDescent="0.45">
      <c r="A19" s="65"/>
      <c r="B19" s="58">
        <v>520721</v>
      </c>
      <c r="C19" s="212" t="str">
        <f>VLOOKUP(B19,'Sales Master'!A$3:B$537,2,0)</f>
        <v>P3004A</v>
      </c>
      <c r="D19" s="487" t="str">
        <f>VLOOKUP(C19,'Sales Master'!B$3:D$537,2,)</f>
        <v>GingKo Nut (Peel off) 白果仁</v>
      </c>
      <c r="E19" s="487"/>
      <c r="F19" s="487"/>
      <c r="G19" s="76">
        <v>2</v>
      </c>
      <c r="H19" s="247" t="str">
        <f>VLOOKUP(C19,'Sales Master'!$B$3:$F$2420,5,0)</f>
        <v>1 KG (500 GM X 2)</v>
      </c>
      <c r="I19" s="513" t="str">
        <f>VLOOKUP(C19,'Sales Master'!$B$3:$E$2420,4,0)</f>
        <v>-</v>
      </c>
      <c r="J19" s="513"/>
      <c r="K19" s="83">
        <f>VLOOKUP(C19,'Sales Master'!B$3:I$537,8,0)</f>
        <v>4.5</v>
      </c>
      <c r="L19" s="84">
        <f>K19*G19</f>
        <v>9</v>
      </c>
      <c r="N19" s="145">
        <f>VLOOKUP(C19,'Sales Master'!$B$3:$DA$2279,104,0)</f>
        <v>3</v>
      </c>
      <c r="O19" s="145">
        <f>K19-N19</f>
        <v>1.5</v>
      </c>
      <c r="P19" s="145">
        <f>O19*G19</f>
        <v>3</v>
      </c>
      <c r="Q19" s="63"/>
      <c r="R19" s="63"/>
    </row>
    <row r="20" spans="1:18" ht="20.149999999999999" customHeight="1" x14ac:dyDescent="0.45">
      <c r="A20" s="65"/>
      <c r="B20" s="58">
        <v>520724</v>
      </c>
      <c r="C20" s="212" t="str">
        <f>VLOOKUP(B20,'Sales Master'!A$3:B$537,2,0)</f>
        <v>P3009A</v>
      </c>
      <c r="D20" s="487" t="str">
        <f>VLOOKUP(C20,'Sales Master'!B$3:D$537,2,)</f>
        <v>Green Bean 绿豆</v>
      </c>
      <c r="E20" s="487"/>
      <c r="F20" s="487"/>
      <c r="G20" s="76">
        <v>1</v>
      </c>
      <c r="H20" s="247" t="str">
        <f>VLOOKUP(C20,'Sales Master'!$B$3:$F$2420,5,0)</f>
        <v>5 KG</v>
      </c>
      <c r="I20" s="513" t="str">
        <f>VLOOKUP(C20,'Sales Master'!$B$3:$E$2420,4,0)</f>
        <v>-</v>
      </c>
      <c r="J20" s="513"/>
      <c r="K20" s="83">
        <f>VLOOKUP(C20,'Sales Master'!B$3:I$537,8,0)</f>
        <v>13</v>
      </c>
      <c r="L20" s="84">
        <f>K20*G20</f>
        <v>13</v>
      </c>
      <c r="N20" s="145">
        <f>VLOOKUP(C20,'Sales Master'!$B$3:$DA$2279,104,0)</f>
        <v>8.75</v>
      </c>
      <c r="O20" s="145">
        <f>K20-N20</f>
        <v>4.25</v>
      </c>
      <c r="P20" s="145">
        <f>O20*G20</f>
        <v>4.25</v>
      </c>
      <c r="Q20" s="63"/>
      <c r="R20" s="63"/>
    </row>
    <row r="21" spans="1:18" ht="20.149999999999999" customHeight="1" x14ac:dyDescent="0.45">
      <c r="A21" s="65"/>
      <c r="B21" s="58">
        <v>520698</v>
      </c>
      <c r="C21" s="212" t="str">
        <f>VLOOKUP(B21,'Sales Master'!A$3:B$537,2,0)</f>
        <v>P3013A</v>
      </c>
      <c r="D21" s="487" t="str">
        <f>VLOOKUP(C21,'Sales Master'!B$3:D$537,2,)</f>
        <v>Black Glutinous Rice 黑糯米</v>
      </c>
      <c r="E21" s="487"/>
      <c r="F21" s="487"/>
      <c r="G21" s="76">
        <v>1</v>
      </c>
      <c r="H21" s="247" t="str">
        <f>VLOOKUP(C21,'Sales Master'!$B$3:$F$2420,5,0)</f>
        <v>5 KGS</v>
      </c>
      <c r="I21" s="513" t="str">
        <f>VLOOKUP(C21,'Sales Master'!$B$3:$E$2420,4,0)</f>
        <v>-</v>
      </c>
      <c r="J21" s="513"/>
      <c r="K21" s="83">
        <f>VLOOKUP(C21,'Sales Master'!B$3:I$537,8,0)</f>
        <v>18</v>
      </c>
      <c r="L21" s="84">
        <f t="shared" ref="L21:L25" si="3">K21*G21</f>
        <v>18</v>
      </c>
      <c r="N21" s="145">
        <f>VLOOKUP(C21,'Sales Master'!$B$3:$DA$2279,104,0)</f>
        <v>12</v>
      </c>
      <c r="O21" s="145">
        <f t="shared" ref="O21:O25" si="4">K21-N21</f>
        <v>6</v>
      </c>
      <c r="P21" s="145">
        <f t="shared" ref="P21:P25" si="5">O21*G21</f>
        <v>6</v>
      </c>
      <c r="Q21" s="63"/>
      <c r="R21" s="63"/>
    </row>
    <row r="22" spans="1:18" ht="20.149999999999999" customHeight="1" x14ac:dyDescent="0.45">
      <c r="A22" s="65"/>
      <c r="B22" s="58">
        <v>520696</v>
      </c>
      <c r="C22" s="212" t="str">
        <f>VLOOKUP(B22,'Sales Master'!A$3:B$537,2,0)</f>
        <v>P3016A</v>
      </c>
      <c r="D22" s="487" t="str">
        <f>VLOOKUP(C22,'Sales Master'!B$3:D$537,2,)</f>
        <v>Pearl Barley 薏米</v>
      </c>
      <c r="E22" s="487"/>
      <c r="F22" s="487"/>
      <c r="G22" s="76">
        <v>1</v>
      </c>
      <c r="H22" s="247" t="str">
        <f>VLOOKUP(C22,'Sales Master'!$B$3:$F$2420,5,0)</f>
        <v>5 KG</v>
      </c>
      <c r="I22" s="513" t="str">
        <f>VLOOKUP(C22,'Sales Master'!$B$3:$E$2420,4,0)</f>
        <v>-</v>
      </c>
      <c r="J22" s="513"/>
      <c r="K22" s="83">
        <f>VLOOKUP(C22,'Sales Master'!B$3:I$537,8,0)</f>
        <v>10</v>
      </c>
      <c r="L22" s="84">
        <f>K22*G22</f>
        <v>10</v>
      </c>
      <c r="N22" s="145">
        <f>VLOOKUP(C22,'Sales Master'!$B$3:$DA$2279,104,0)</f>
        <v>7.6</v>
      </c>
      <c r="O22" s="145">
        <f>K22-N22</f>
        <v>2.4000000000000004</v>
      </c>
      <c r="P22" s="145">
        <f>O22*G22</f>
        <v>2.4000000000000004</v>
      </c>
      <c r="Q22" s="63"/>
      <c r="R22" s="63"/>
    </row>
    <row r="23" spans="1:18" ht="20.149999999999999" customHeight="1" x14ac:dyDescent="0.45">
      <c r="A23" s="65"/>
      <c r="B23" s="58">
        <v>520714</v>
      </c>
      <c r="C23" s="212" t="str">
        <f>VLOOKUP(B23,'Sales Master'!A$3:B$537,2,0)</f>
        <v>P3019A</v>
      </c>
      <c r="D23" s="487" t="str">
        <f>VLOOKUP(C23,'Sales Master'!B$3:D$537,2,)</f>
        <v>Dried Longan 龙眼干</v>
      </c>
      <c r="E23" s="487"/>
      <c r="F23" s="487"/>
      <c r="G23" s="76">
        <v>2</v>
      </c>
      <c r="H23" s="247" t="str">
        <f>VLOOKUP(C23,'Sales Master'!$B$3:$F$2420,5,0)</f>
        <v>1 kg/ Pkt包</v>
      </c>
      <c r="I23" s="513" t="str">
        <f>VLOOKUP(C23,'Sales Master'!$B$3:$E$2420,4,0)</f>
        <v>TL</v>
      </c>
      <c r="J23" s="513"/>
      <c r="K23" s="83">
        <f>VLOOKUP(C23,'Sales Master'!B$3:I$537,8,0)</f>
        <v>15</v>
      </c>
      <c r="L23" s="84">
        <f t="shared" si="3"/>
        <v>30</v>
      </c>
      <c r="N23" s="145">
        <f>VLOOKUP(C23,'Sales Master'!$B$3:$DA$2279,104,0)</f>
        <v>8.8000000000000007</v>
      </c>
      <c r="O23" s="145">
        <f t="shared" si="4"/>
        <v>6.1999999999999993</v>
      </c>
      <c r="P23" s="145">
        <f t="shared" si="5"/>
        <v>12.399999999999999</v>
      </c>
      <c r="Q23" s="63"/>
      <c r="R23" s="63"/>
    </row>
    <row r="24" spans="1:18" ht="20.149999999999999" customHeight="1" x14ac:dyDescent="0.45">
      <c r="A24" s="65"/>
      <c r="B24" s="58">
        <v>520728</v>
      </c>
      <c r="C24" s="212" t="str">
        <f>VLOOKUP(B24,'Sales Master'!A$3:B$537,2,0)</f>
        <v>P4010</v>
      </c>
      <c r="D24" s="487" t="str">
        <f>VLOOKUP(C24,'Sales Master'!B$3:D$537,2,)</f>
        <v>Lychee in Syrup 荔枝</v>
      </c>
      <c r="E24" s="487"/>
      <c r="F24" s="487"/>
      <c r="G24" s="76">
        <v>2</v>
      </c>
      <c r="H24" s="247" t="str">
        <f>VLOOKUP(C24,'Sales Master'!$B$3:$F$2420,5,0)</f>
        <v>12can/箱</v>
      </c>
      <c r="I24" s="513" t="str">
        <f>VLOOKUP(C24,'Sales Master'!$B$3:$E$2420,4,0)</f>
        <v>MiLi</v>
      </c>
      <c r="J24" s="513"/>
      <c r="K24" s="83">
        <f>VLOOKUP(C24,'Sales Master'!B$3:I$537,8,0)</f>
        <v>26.5</v>
      </c>
      <c r="L24" s="84">
        <f t="shared" si="3"/>
        <v>53</v>
      </c>
      <c r="N24" s="145">
        <f>VLOOKUP(C24,'Sales Master'!$B$3:$DA$2279,104,0)</f>
        <v>20</v>
      </c>
      <c r="O24" s="145">
        <f t="shared" si="4"/>
        <v>6.5</v>
      </c>
      <c r="P24" s="145">
        <f t="shared" si="5"/>
        <v>13</v>
      </c>
      <c r="Q24" s="63"/>
      <c r="R24" s="63"/>
    </row>
    <row r="25" spans="1:18" ht="20.149999999999999" customHeight="1" x14ac:dyDescent="0.45">
      <c r="A25" s="65"/>
      <c r="B25" s="58">
        <v>520792</v>
      </c>
      <c r="C25" s="212" t="str">
        <f>VLOOKUP(B25,'Sales Master'!A$3:B$537,2,0)</f>
        <v>P6014</v>
      </c>
      <c r="D25" s="487" t="str">
        <f>VLOOKUP(C25,'Sales Master'!B$3:D$537,2,)</f>
        <v>Yu Tiao 油条</v>
      </c>
      <c r="E25" s="487"/>
      <c r="F25" s="487"/>
      <c r="G25" s="76">
        <v>1</v>
      </c>
      <c r="H25" s="247" t="str">
        <f>VLOOKUP(C25,'Sales Master'!$B$3:$F$2420,5,0)</f>
        <v>10 PCS/PKT</v>
      </c>
      <c r="I25" s="513" t="str">
        <f>VLOOKUP(C25,'Sales Master'!$B$3:$E$2420,4,0)</f>
        <v>-</v>
      </c>
      <c r="J25" s="513"/>
      <c r="K25" s="83">
        <f>VLOOKUP(C25,'Sales Master'!B$3:I$537,8,0)</f>
        <v>5.5</v>
      </c>
      <c r="L25" s="84">
        <f t="shared" si="3"/>
        <v>5.5</v>
      </c>
      <c r="N25" s="145">
        <f>VLOOKUP(C25,'Sales Master'!$B$3:$DA$2279,104,0)</f>
        <v>0.45</v>
      </c>
      <c r="O25" s="145">
        <f t="shared" si="4"/>
        <v>5.05</v>
      </c>
      <c r="P25" s="145">
        <f t="shared" si="5"/>
        <v>5.05</v>
      </c>
      <c r="Q25" s="63"/>
      <c r="R25" s="63"/>
    </row>
    <row r="26" spans="1:18" ht="20.149999999999999" customHeight="1" x14ac:dyDescent="0.45">
      <c r="A26" s="65"/>
      <c r="B26" s="242"/>
      <c r="C26" s="212"/>
      <c r="D26" s="487"/>
      <c r="E26" s="487"/>
      <c r="F26" s="487"/>
      <c r="G26" s="76"/>
      <c r="H26" s="247"/>
      <c r="I26" s="513"/>
      <c r="J26" s="513"/>
      <c r="K26" s="83"/>
      <c r="L26" s="84"/>
      <c r="N26" s="145"/>
      <c r="O26" s="145"/>
      <c r="P26" s="145"/>
      <c r="Q26" s="63"/>
      <c r="R26" s="63"/>
    </row>
    <row r="27" spans="1:18" ht="20.149999999999999" customHeight="1" x14ac:dyDescent="0.45">
      <c r="A27" s="65"/>
      <c r="B27" s="242"/>
      <c r="C27" s="212"/>
      <c r="D27" s="487"/>
      <c r="E27" s="487"/>
      <c r="F27" s="487"/>
      <c r="G27" s="76"/>
      <c r="H27" s="247"/>
      <c r="I27" s="513"/>
      <c r="J27" s="513"/>
      <c r="K27" s="83"/>
      <c r="L27" s="84"/>
      <c r="N27" s="145"/>
      <c r="O27" s="145"/>
      <c r="P27" s="145"/>
      <c r="Q27" s="63"/>
      <c r="R27" s="63"/>
    </row>
    <row r="28" spans="1:18" ht="20.149999999999999" customHeight="1" x14ac:dyDescent="0.45">
      <c r="A28" s="65"/>
      <c r="B28" s="242"/>
      <c r="C28" s="212"/>
      <c r="D28" s="487"/>
      <c r="E28" s="487"/>
      <c r="F28" s="487"/>
      <c r="G28" s="76"/>
      <c r="H28" s="247"/>
      <c r="I28" s="513"/>
      <c r="J28" s="513"/>
      <c r="K28" s="83"/>
      <c r="L28" s="84"/>
      <c r="N28" s="145"/>
      <c r="O28" s="145"/>
      <c r="P28" s="145"/>
      <c r="Q28" s="63"/>
      <c r="R28" s="63"/>
    </row>
    <row r="29" spans="1:18" ht="20.149999999999999" customHeight="1" x14ac:dyDescent="0.45">
      <c r="A29" s="65"/>
      <c r="B29" s="242"/>
      <c r="C29" s="212"/>
      <c r="D29" s="487"/>
      <c r="E29" s="487"/>
      <c r="F29" s="487"/>
      <c r="G29" s="76"/>
      <c r="H29" s="247"/>
      <c r="I29" s="513"/>
      <c r="J29" s="513"/>
      <c r="K29" s="83"/>
      <c r="L29" s="84"/>
      <c r="N29" s="145"/>
      <c r="O29" s="145"/>
      <c r="P29" s="145"/>
      <c r="Q29" s="63"/>
      <c r="R29" s="63"/>
    </row>
    <row r="30" spans="1:18" ht="20.149999999999999" customHeight="1" x14ac:dyDescent="0.45">
      <c r="A30" s="65"/>
      <c r="B30" s="242"/>
      <c r="C30" s="212"/>
      <c r="D30" s="487"/>
      <c r="E30" s="487"/>
      <c r="F30" s="487"/>
      <c r="G30" s="76"/>
      <c r="H30" s="247"/>
      <c r="I30" s="513"/>
      <c r="J30" s="513"/>
      <c r="K30" s="83"/>
      <c r="L30" s="84"/>
      <c r="N30" s="145"/>
      <c r="O30" s="145"/>
      <c r="P30" s="145"/>
      <c r="Q30" s="63"/>
      <c r="R30" s="63"/>
    </row>
    <row r="31" spans="1:18" ht="20.149999999999999" customHeight="1" x14ac:dyDescent="0.45">
      <c r="A31" s="65"/>
      <c r="B31" s="242"/>
      <c r="C31" s="212"/>
      <c r="D31" s="487"/>
      <c r="E31" s="487"/>
      <c r="F31" s="487"/>
      <c r="G31" s="76"/>
      <c r="H31" s="247"/>
      <c r="I31" s="513"/>
      <c r="J31" s="513"/>
      <c r="K31" s="83"/>
      <c r="L31" s="84"/>
      <c r="N31" s="145"/>
      <c r="O31" s="145"/>
      <c r="P31" s="145"/>
      <c r="Q31" s="63"/>
      <c r="R31" s="63"/>
    </row>
    <row r="32" spans="1:18" ht="20.149999999999999" customHeight="1" x14ac:dyDescent="0.45">
      <c r="A32" s="65"/>
      <c r="B32" s="242"/>
      <c r="C32" s="212"/>
      <c r="D32" s="487"/>
      <c r="E32" s="487"/>
      <c r="F32" s="487"/>
      <c r="G32" s="76"/>
      <c r="H32" s="247"/>
      <c r="I32" s="513"/>
      <c r="J32" s="513"/>
      <c r="K32" s="83"/>
      <c r="L32" s="84"/>
      <c r="N32" s="145"/>
      <c r="O32" s="145"/>
      <c r="P32" s="145"/>
      <c r="Q32" s="63"/>
      <c r="R32" s="63"/>
    </row>
    <row r="33" spans="1:18" ht="20.149999999999999" customHeight="1" x14ac:dyDescent="0.45">
      <c r="A33" s="65"/>
      <c r="B33" s="242"/>
      <c r="C33" s="212"/>
      <c r="D33" s="487"/>
      <c r="E33" s="487"/>
      <c r="F33" s="487"/>
      <c r="G33" s="76"/>
      <c r="H33" s="247"/>
      <c r="I33" s="209"/>
      <c r="J33" s="209"/>
      <c r="K33" s="83"/>
      <c r="L33" s="84"/>
      <c r="N33" s="145"/>
      <c r="O33" s="145"/>
      <c r="P33" s="145"/>
      <c r="Q33" s="63"/>
      <c r="R33" s="63"/>
    </row>
    <row r="34" spans="1:18" ht="20.149999999999999" customHeight="1" x14ac:dyDescent="0.45">
      <c r="A34" s="65"/>
      <c r="B34" s="139"/>
      <c r="C34" s="129"/>
      <c r="D34" s="140"/>
      <c r="E34" s="140"/>
      <c r="F34" s="140"/>
      <c r="G34" s="129"/>
      <c r="H34" s="138"/>
      <c r="I34" s="517"/>
      <c r="J34" s="517"/>
      <c r="K34" s="95"/>
      <c r="L34" s="98"/>
      <c r="M34" s="63"/>
      <c r="N34" s="63"/>
      <c r="Q34" s="63"/>
    </row>
    <row r="35" spans="1:18" ht="20.149999999999999" customHeight="1" thickBot="1" x14ac:dyDescent="0.5">
      <c r="A35" s="65"/>
      <c r="B35" s="141"/>
      <c r="C35" s="76"/>
      <c r="D35" s="65"/>
      <c r="E35" s="65"/>
      <c r="F35" s="65"/>
      <c r="G35" s="76"/>
      <c r="H35" s="82"/>
      <c r="I35" s="76"/>
      <c r="J35" s="76"/>
      <c r="K35" s="83"/>
      <c r="L35" s="84"/>
    </row>
    <row r="36" spans="1:18" ht="20.149999999999999" customHeight="1" x14ac:dyDescent="0.45">
      <c r="A36" s="65"/>
      <c r="B36" s="142" t="s">
        <v>16</v>
      </c>
      <c r="C36" s="135"/>
      <c r="D36" s="135"/>
      <c r="E36" s="135"/>
      <c r="F36" s="135"/>
      <c r="G36" s="135"/>
      <c r="H36" s="135"/>
      <c r="I36" s="135"/>
      <c r="J36" s="515" t="s">
        <v>13</v>
      </c>
      <c r="K36" s="516"/>
      <c r="L36" s="143">
        <f>SUM(L18:L35)</f>
        <v>148.5</v>
      </c>
      <c r="M36" s="63">
        <f>SUM(P18:P35)</f>
        <v>48.8</v>
      </c>
      <c r="N36" s="133">
        <f>M36/L36</f>
        <v>0.32861952861952859</v>
      </c>
      <c r="Q36" s="133"/>
    </row>
    <row r="37" spans="1:18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v>0</v>
      </c>
      <c r="M37" s="63"/>
    </row>
    <row r="38" spans="1:18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91" t="s">
        <v>19</v>
      </c>
      <c r="K38" s="492"/>
      <c r="L38" s="41">
        <f>L36-L37</f>
        <v>148.5</v>
      </c>
    </row>
    <row r="39" spans="1:18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13.365</v>
      </c>
    </row>
    <row r="40" spans="1:18" ht="20.149999999999999" customHeight="1" thickBot="1" x14ac:dyDescent="0.5">
      <c r="B40" s="10" t="s">
        <v>676</v>
      </c>
      <c r="C40" s="6"/>
      <c r="D40" s="6"/>
      <c r="E40" s="6"/>
      <c r="F40" s="6"/>
      <c r="G40" s="6"/>
      <c r="H40" s="6"/>
      <c r="I40" s="6"/>
      <c r="J40" s="485" t="s">
        <v>21</v>
      </c>
      <c r="K40" s="486"/>
      <c r="L40" s="43">
        <f>L38+L39</f>
        <v>161.86500000000001</v>
      </c>
    </row>
    <row r="41" spans="1:18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1:18" ht="18" customHeight="1" x14ac:dyDescent="0.45">
      <c r="B42" s="144" t="s">
        <v>666</v>
      </c>
      <c r="L42" s="37"/>
    </row>
    <row r="43" spans="1:18" ht="18" customHeight="1" x14ac:dyDescent="0.45">
      <c r="B43" s="36"/>
      <c r="L43" s="37"/>
      <c r="N43" s="176">
        <v>44641</v>
      </c>
      <c r="O43" s="19">
        <v>287.5</v>
      </c>
      <c r="P43" s="19">
        <v>54.36</v>
      </c>
      <c r="Q43" s="133">
        <f>P43/O43</f>
        <v>0.18907826086956522</v>
      </c>
    </row>
    <row r="44" spans="1:18" ht="18" customHeight="1" x14ac:dyDescent="0.45">
      <c r="B44" s="36"/>
      <c r="L44" s="37"/>
      <c r="N44" s="176"/>
      <c r="Q44" s="133"/>
    </row>
    <row r="45" spans="1:18" ht="18" customHeight="1" x14ac:dyDescent="0.45">
      <c r="B45" s="36"/>
      <c r="L45" s="37"/>
      <c r="N45" s="176"/>
      <c r="Q45" s="133"/>
    </row>
    <row r="46" spans="1:18" ht="18" customHeight="1" x14ac:dyDescent="0.45">
      <c r="B46" s="36"/>
      <c r="L46" s="37"/>
      <c r="N46" s="176"/>
      <c r="Q46" s="133"/>
    </row>
    <row r="47" spans="1:18" ht="18" customHeight="1" x14ac:dyDescent="0.45">
      <c r="B47" s="44"/>
      <c r="C47" s="45"/>
      <c r="D47" s="45"/>
      <c r="J47" s="45"/>
      <c r="K47" s="45"/>
      <c r="L47" s="46"/>
    </row>
    <row r="48" spans="1:18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  <row r="50" spans="2:12" ht="20.5" x14ac:dyDescent="0.45">
      <c r="F50" s="201"/>
    </row>
  </sheetData>
  <mergeCells count="50">
    <mergeCell ref="D31:F31"/>
    <mergeCell ref="D25:F25"/>
    <mergeCell ref="I23:J23"/>
    <mergeCell ref="I25:J25"/>
    <mergeCell ref="I20:J20"/>
    <mergeCell ref="I30:J30"/>
    <mergeCell ref="I24:J24"/>
    <mergeCell ref="D20:F20"/>
    <mergeCell ref="D30:F30"/>
    <mergeCell ref="D24:F24"/>
    <mergeCell ref="D23:F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1:F21"/>
    <mergeCell ref="I21:J21"/>
    <mergeCell ref="D17:F17"/>
    <mergeCell ref="D22:F22"/>
    <mergeCell ref="I22:J22"/>
    <mergeCell ref="D19:F19"/>
    <mergeCell ref="I19:J19"/>
    <mergeCell ref="D18:F18"/>
    <mergeCell ref="I18:J18"/>
    <mergeCell ref="J40:K40"/>
    <mergeCell ref="D26:F26"/>
    <mergeCell ref="I26:J26"/>
    <mergeCell ref="D28:F28"/>
    <mergeCell ref="I28:J28"/>
    <mergeCell ref="I34:J34"/>
    <mergeCell ref="J36:K36"/>
    <mergeCell ref="J38:K38"/>
    <mergeCell ref="D29:F29"/>
    <mergeCell ref="I29:J29"/>
    <mergeCell ref="D27:F27"/>
    <mergeCell ref="I32:J32"/>
    <mergeCell ref="I31:J31"/>
    <mergeCell ref="D33:F33"/>
    <mergeCell ref="I27:J27"/>
    <mergeCell ref="D32:F32"/>
  </mergeCells>
  <hyperlinks>
    <hyperlink ref="B15" r:id="rId1" xr:uid="{1A10CDA7-66E4-48A6-B2F8-76BE493B2204}"/>
  </hyperlinks>
  <pageMargins left="0.74803149606299213" right="0" top="0" bottom="0" header="0" footer="0"/>
  <pageSetup paperSize="9" scale="71" orientation="portrait" horizontalDpi="300" verticalDpi="300" r:id="rId2"/>
  <drawing r:id="rId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83709-BCF8-42B7-A848-65ABDBB5F2F7}">
  <sheetPr codeName="Sheet50">
    <tabColor rgb="FF7030A0"/>
    <pageSetUpPr fitToPage="1"/>
  </sheetPr>
  <dimension ref="B1:V44"/>
  <sheetViews>
    <sheetView topLeftCell="A9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7.1796875" style="19" customWidth="1"/>
    <col min="7" max="7" width="8.54296875" style="19" customWidth="1"/>
    <col min="8" max="8" width="15.54296875" style="19" customWidth="1"/>
    <col min="9" max="9" width="2.179687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5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5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5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5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5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5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5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1058</v>
      </c>
      <c r="J10" s="68" t="s">
        <v>27</v>
      </c>
      <c r="K10" s="464">
        <v>202501096</v>
      </c>
      <c r="L10" s="465"/>
    </row>
    <row r="11" spans="2:15" ht="20.149999999999999" customHeight="1" x14ac:dyDescent="0.45">
      <c r="B11" s="466" t="s">
        <v>1249</v>
      </c>
      <c r="C11" s="467"/>
      <c r="D11" s="468"/>
      <c r="E11" s="25"/>
      <c r="F11" s="469" t="str">
        <f>VLOOKUP(H10,'Delivery Location'!A$4:N$466,2,0)</f>
        <v>CHEF RICKSON'S KITCHEN (Ally)                  Blk 177, Bishan Street 13 #04-177 Singapore 570177</v>
      </c>
      <c r="G11" s="470"/>
      <c r="H11" s="471"/>
      <c r="J11" s="69" t="s">
        <v>9</v>
      </c>
      <c r="K11" s="478">
        <v>45661</v>
      </c>
      <c r="L11" s="479"/>
    </row>
    <row r="12" spans="2:15" ht="20.149999999999999" customHeight="1" x14ac:dyDescent="0.45">
      <c r="B12" s="480" t="s">
        <v>549</v>
      </c>
      <c r="C12" s="453"/>
      <c r="D12" s="481"/>
      <c r="E12" s="25"/>
      <c r="F12" s="472"/>
      <c r="G12" s="473"/>
      <c r="H12" s="474"/>
      <c r="J12" s="69" t="s">
        <v>127</v>
      </c>
      <c r="K12" s="482" t="s">
        <v>331</v>
      </c>
      <c r="L12" s="483"/>
      <c r="O12" s="19">
        <f>46.5/6</f>
        <v>7.75</v>
      </c>
    </row>
    <row r="13" spans="2:15" ht="20.149999999999999" customHeight="1" x14ac:dyDescent="0.45">
      <c r="B13" s="480"/>
      <c r="C13" s="453"/>
      <c r="D13" s="481"/>
      <c r="E13" s="25"/>
      <c r="F13" s="472"/>
      <c r="G13" s="473"/>
      <c r="H13" s="474"/>
      <c r="J13" s="69" t="s">
        <v>10</v>
      </c>
      <c r="K13" s="482" t="s">
        <v>687</v>
      </c>
      <c r="L13" s="483"/>
    </row>
    <row r="14" spans="2:15" ht="20.149999999999999" customHeight="1" x14ac:dyDescent="0.45">
      <c r="B14" s="480"/>
      <c r="C14" s="453"/>
      <c r="D14" s="481"/>
      <c r="E14" s="25"/>
      <c r="F14" s="472"/>
      <c r="G14" s="473"/>
      <c r="H14" s="474"/>
      <c r="J14" s="69" t="s">
        <v>28</v>
      </c>
      <c r="K14" s="482" t="s">
        <v>14</v>
      </c>
      <c r="L14" s="483"/>
      <c r="N14" s="19" t="s">
        <v>1260</v>
      </c>
    </row>
    <row r="15" spans="2:15" ht="18" customHeight="1" thickBot="1" x14ac:dyDescent="0.5">
      <c r="B15" s="50"/>
      <c r="C15" s="51"/>
      <c r="D15" s="52"/>
      <c r="E15" s="21"/>
      <c r="F15" s="475"/>
      <c r="G15" s="476"/>
      <c r="H15" s="477"/>
      <c r="J15" s="70" t="s">
        <v>11</v>
      </c>
      <c r="K15" s="495"/>
      <c r="L15" s="496"/>
    </row>
    <row r="16" spans="2:15" ht="19" thickBot="1" x14ac:dyDescent="0.5">
      <c r="J16" s="71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29"/>
      <c r="C18" s="212" t="s">
        <v>925</v>
      </c>
      <c r="D18" s="487" t="str">
        <f>VLOOKUP(C18,'Sales Master'!B$3:D$537,2,)</f>
        <v>Nata 椰果芊 15mm</v>
      </c>
      <c r="E18" s="487"/>
      <c r="F18" s="487"/>
      <c r="G18" s="17">
        <v>24</v>
      </c>
      <c r="H18" s="186" t="str">
        <f>VLOOKUP(C18,'Sales Master'!$B$3:$F$2420,5,0)</f>
        <v>1 Can X A10 /罐</v>
      </c>
      <c r="I18" s="484" t="str">
        <f>VLOOKUP(C18,'Sales Master'!$B$3:$E$2420,4,0)</f>
        <v>Chefs</v>
      </c>
      <c r="J18" s="484"/>
      <c r="K18" s="30">
        <f>VLOOKUP(C18,'Sales Master'!B$3:Y$537,24,0)</f>
        <v>10</v>
      </c>
      <c r="L18" s="64">
        <f>K18*G18</f>
        <v>240</v>
      </c>
      <c r="N18" s="145">
        <f>VLOOKUP(C18,'Sales Master'!$B$3:$DA$2279,104,0)</f>
        <v>7.75</v>
      </c>
      <c r="O18" s="145">
        <f>K18-N18</f>
        <v>2.25</v>
      </c>
      <c r="P18" s="145">
        <f>O18*G18</f>
        <v>54</v>
      </c>
      <c r="R18" s="63">
        <f>G18*N18*0.07</f>
        <v>13.020000000000001</v>
      </c>
      <c r="S18" s="63">
        <f>N18*G18*0.08</f>
        <v>14.88</v>
      </c>
    </row>
    <row r="19" spans="2:22" ht="20.149999999999999" customHeight="1" x14ac:dyDescent="0.45">
      <c r="B19" s="29"/>
      <c r="C19" s="212" t="s">
        <v>936</v>
      </c>
      <c r="D19" s="487" t="str">
        <f>VLOOKUP(C19,'Sales Master'!B$3:D$537,2,)</f>
        <v>Lychee in Syrup 荔枝</v>
      </c>
      <c r="E19" s="487"/>
      <c r="F19" s="487"/>
      <c r="G19" s="17">
        <v>2</v>
      </c>
      <c r="H19" s="186" t="str">
        <f>VLOOKUP(C19,'Sales Master'!$B$3:$F$2420,5,0)</f>
        <v>12can/箱</v>
      </c>
      <c r="I19" s="484" t="str">
        <f>VLOOKUP(C19,'Sales Master'!$B$3:$E$2420,4,0)</f>
        <v>MiLi</v>
      </c>
      <c r="J19" s="484"/>
      <c r="K19" s="30">
        <f>VLOOKUP(C19,'Sales Master'!B$3:Y$537,24,0)</f>
        <v>26</v>
      </c>
      <c r="L19" s="64">
        <f>K19*G19</f>
        <v>52</v>
      </c>
      <c r="N19" s="145">
        <f>VLOOKUP(C19,'Sales Master'!$B$3:$DA$2279,104,0)</f>
        <v>20</v>
      </c>
      <c r="O19" s="145">
        <f>K19-N19</f>
        <v>6</v>
      </c>
      <c r="P19" s="145">
        <f>O19*G19</f>
        <v>12</v>
      </c>
      <c r="R19" s="63">
        <f>G19*N19*0.07</f>
        <v>2.8000000000000003</v>
      </c>
      <c r="S19" s="63">
        <f>N19*G19*0.08</f>
        <v>3.2</v>
      </c>
    </row>
    <row r="20" spans="2:22" ht="20.149999999999999" customHeight="1" x14ac:dyDescent="0.45">
      <c r="B20" s="29"/>
      <c r="C20" s="212" t="s">
        <v>2222</v>
      </c>
      <c r="D20" s="487" t="str">
        <f>VLOOKUP(C20,'Sales Master'!B$3:D$537,2,)</f>
        <v>Longan in Syrup 龙眼</v>
      </c>
      <c r="E20" s="487"/>
      <c r="F20" s="487"/>
      <c r="G20" s="17">
        <v>2</v>
      </c>
      <c r="H20" s="186" t="str">
        <f>VLOOKUP(C20,'Sales Master'!$B$3:$F$2420,5,0)</f>
        <v>(565gm x 12)/ Ctn箱</v>
      </c>
      <c r="I20" s="484" t="str">
        <f>VLOOKUP(C20,'Sales Master'!$B$3:$E$2420,4,0)</f>
        <v>GoldenBoy</v>
      </c>
      <c r="J20" s="484"/>
      <c r="K20" s="30">
        <f>VLOOKUP(C20,'Sales Master'!B$3:Y$537,24,0)</f>
        <v>26</v>
      </c>
      <c r="L20" s="64">
        <f>K20*G20</f>
        <v>52</v>
      </c>
      <c r="N20" s="145">
        <f>VLOOKUP(C20,'Sales Master'!$B$3:$DA$2279,104,0)</f>
        <v>20</v>
      </c>
      <c r="O20" s="145">
        <f>K20-N20</f>
        <v>6</v>
      </c>
      <c r="P20" s="145">
        <f>O20*G20</f>
        <v>12</v>
      </c>
      <c r="R20" s="63">
        <f>G20*N20*0.07</f>
        <v>2.8000000000000003</v>
      </c>
      <c r="S20" s="63">
        <f>N20*G20*0.08</f>
        <v>3.2</v>
      </c>
    </row>
    <row r="21" spans="2:22" ht="20.149999999999999" customHeight="1" x14ac:dyDescent="0.45">
      <c r="B21" s="29"/>
      <c r="C21" s="212"/>
      <c r="D21" s="487"/>
      <c r="E21" s="487"/>
      <c r="F21" s="487"/>
      <c r="G21" s="17"/>
      <c r="H21" s="186"/>
      <c r="I21" s="484"/>
      <c r="J21" s="484"/>
      <c r="K21" s="30"/>
      <c r="L21" s="64"/>
      <c r="M21" s="65"/>
      <c r="N21" s="145"/>
      <c r="O21" s="145"/>
      <c r="P21" s="145"/>
      <c r="R21" s="63">
        <f>G21*N21*0.07</f>
        <v>0</v>
      </c>
      <c r="S21" s="63">
        <f>N21*G21*0.08</f>
        <v>0</v>
      </c>
    </row>
    <row r="22" spans="2:22" ht="20.149999999999999" customHeight="1" x14ac:dyDescent="0.45">
      <c r="B22" s="29"/>
      <c r="C22" s="212"/>
      <c r="D22" s="487"/>
      <c r="E22" s="487"/>
      <c r="F22" s="487"/>
      <c r="G22" s="17"/>
      <c r="H22" s="186"/>
      <c r="I22" s="484"/>
      <c r="J22" s="484"/>
      <c r="K22" s="30"/>
      <c r="L22" s="64"/>
      <c r="M22" s="65"/>
      <c r="N22" s="145"/>
      <c r="O22" s="145"/>
      <c r="P22" s="145"/>
      <c r="R22" s="63"/>
      <c r="S22" s="63"/>
    </row>
    <row r="23" spans="2:22" ht="18" customHeight="1" x14ac:dyDescent="0.45">
      <c r="B23" s="29"/>
      <c r="C23" s="17"/>
      <c r="D23" s="487"/>
      <c r="E23" s="487"/>
      <c r="F23" s="487"/>
      <c r="G23" s="17"/>
      <c r="H23" s="56"/>
      <c r="I23" s="494"/>
      <c r="J23" s="494"/>
      <c r="K23" s="30"/>
      <c r="L23" s="92"/>
      <c r="M23" s="65"/>
      <c r="N23" s="145"/>
      <c r="O23" s="145"/>
      <c r="P23" s="145"/>
      <c r="R23" s="63"/>
      <c r="S23" s="63"/>
    </row>
    <row r="24" spans="2:22" ht="20.149999999999999" customHeight="1" x14ac:dyDescent="0.45">
      <c r="B24" s="29"/>
      <c r="C24" s="586"/>
      <c r="D24" s="586"/>
      <c r="E24" s="586"/>
      <c r="F24" s="147"/>
      <c r="G24" s="76"/>
      <c r="H24" s="56"/>
      <c r="I24" s="56"/>
      <c r="J24" s="56"/>
      <c r="K24" s="150"/>
      <c r="L24" s="92"/>
      <c r="M24" s="65"/>
      <c r="N24" s="145"/>
      <c r="O24" s="145"/>
      <c r="P24" s="145"/>
      <c r="R24" s="63"/>
      <c r="S24" s="63"/>
    </row>
    <row r="25" spans="2:22" ht="20.149999999999999" customHeight="1" x14ac:dyDescent="0.45">
      <c r="B25" s="29"/>
      <c r="C25" s="212"/>
      <c r="D25" s="493"/>
      <c r="E25" s="493"/>
      <c r="F25" s="493"/>
      <c r="G25" s="76"/>
      <c r="H25" s="186"/>
      <c r="I25" s="484"/>
      <c r="J25" s="484"/>
      <c r="K25" s="150"/>
      <c r="L25" s="92"/>
      <c r="M25" s="65"/>
      <c r="N25" s="145"/>
      <c r="O25" s="145"/>
      <c r="P25" s="145"/>
      <c r="R25" s="63"/>
      <c r="S25" s="63"/>
      <c r="V25" s="19">
        <v>38</v>
      </c>
    </row>
    <row r="26" spans="2:22" ht="20.149999999999999" customHeight="1" x14ac:dyDescent="0.45">
      <c r="B26" s="29"/>
      <c r="C26" s="212"/>
      <c r="D26" s="487"/>
      <c r="E26" s="487"/>
      <c r="F26" s="487"/>
      <c r="G26" s="17"/>
      <c r="H26" s="186"/>
      <c r="I26" s="484"/>
      <c r="J26" s="484"/>
      <c r="K26" s="99"/>
      <c r="L26" s="92"/>
      <c r="M26" s="65"/>
      <c r="R26" s="63"/>
      <c r="S26" s="63"/>
    </row>
    <row r="27" spans="2:22" ht="20.149999999999999" customHeight="1" x14ac:dyDescent="0.45">
      <c r="B27" s="29"/>
      <c r="C27" s="212"/>
      <c r="D27" s="487"/>
      <c r="E27" s="487"/>
      <c r="F27" s="487"/>
      <c r="G27" s="17"/>
      <c r="H27" s="186"/>
      <c r="I27" s="484"/>
      <c r="J27" s="484"/>
      <c r="K27" s="30"/>
      <c r="L27" s="92"/>
      <c r="M27" s="65"/>
      <c r="R27" s="63"/>
      <c r="S27" s="63"/>
    </row>
    <row r="28" spans="2:22" ht="20.149999999999999" customHeight="1" x14ac:dyDescent="0.45">
      <c r="B28" s="29"/>
      <c r="C28" s="17"/>
      <c r="D28" s="487"/>
      <c r="E28" s="487"/>
      <c r="F28" s="487"/>
      <c r="G28" s="17"/>
      <c r="H28" s="56"/>
      <c r="I28" s="494"/>
      <c r="J28" s="494"/>
      <c r="K28" s="30"/>
      <c r="L28" s="92"/>
      <c r="R28" s="63"/>
      <c r="S28" s="63"/>
    </row>
    <row r="29" spans="2:22" ht="20.149999999999999" customHeight="1" x14ac:dyDescent="0.45">
      <c r="B29" s="29"/>
      <c r="C29" s="17"/>
      <c r="D29" s="487"/>
      <c r="E29" s="487"/>
      <c r="F29" s="487"/>
      <c r="G29" s="17"/>
      <c r="H29" s="56"/>
      <c r="I29" s="494"/>
      <c r="J29" s="494"/>
      <c r="K29" s="30"/>
      <c r="L29" s="92"/>
      <c r="R29" s="63"/>
      <c r="S29" s="63"/>
    </row>
    <row r="30" spans="2:22" ht="20.149999999999999" customHeight="1" thickBot="1" x14ac:dyDescent="0.5">
      <c r="B30" s="32"/>
      <c r="C30" s="33"/>
      <c r="D30" s="488"/>
      <c r="E30" s="488"/>
      <c r="F30" s="488"/>
      <c r="G30" s="33"/>
      <c r="H30" s="57"/>
      <c r="I30" s="530"/>
      <c r="J30" s="530"/>
      <c r="K30" s="34"/>
      <c r="L30" s="7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72"/>
      <c r="J32" s="489" t="s">
        <v>13</v>
      </c>
      <c r="K32" s="490"/>
      <c r="L32" s="38">
        <f>SUM(L17:L29)</f>
        <v>344</v>
      </c>
      <c r="M32" s="63">
        <f>SUM(P18:P20)</f>
        <v>78</v>
      </c>
      <c r="N32" s="133">
        <f>M32/L32</f>
        <v>0.22674418604651161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72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72"/>
      <c r="J34" s="491" t="s">
        <v>19</v>
      </c>
      <c r="K34" s="492"/>
      <c r="L34" s="41">
        <f>L32-L33</f>
        <v>344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72"/>
      <c r="J35" s="102" t="s">
        <v>15</v>
      </c>
      <c r="K35" s="103">
        <f>'Sales Master'!$B$1</f>
        <v>0.09</v>
      </c>
      <c r="L35" s="42">
        <f>L34*K35</f>
        <v>30.959999999999997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72"/>
      <c r="J36" s="485" t="s">
        <v>21</v>
      </c>
      <c r="K36" s="486"/>
      <c r="L36" s="43">
        <f>L34+L35</f>
        <v>374.96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72"/>
      <c r="L37" s="37"/>
    </row>
    <row r="38" spans="2:12" ht="20.149999999999999" customHeight="1" x14ac:dyDescent="0.45">
      <c r="B38" s="144" t="s">
        <v>666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73"/>
      <c r="K42" s="45"/>
      <c r="L42" s="46"/>
    </row>
    <row r="43" spans="2:12" ht="20.149999999999999" customHeight="1" x14ac:dyDescent="0.45">
      <c r="B43" s="36" t="s">
        <v>25</v>
      </c>
      <c r="J43" s="67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74"/>
      <c r="J44" s="74"/>
      <c r="K44" s="48"/>
      <c r="L44" s="49"/>
    </row>
  </sheetData>
  <mergeCells count="42">
    <mergeCell ref="J36:K36"/>
    <mergeCell ref="D30:F30"/>
    <mergeCell ref="I30:J30"/>
    <mergeCell ref="J32:K32"/>
    <mergeCell ref="J34:K34"/>
    <mergeCell ref="D28:F28"/>
    <mergeCell ref="I28:J28"/>
    <mergeCell ref="D29:F29"/>
    <mergeCell ref="I29:J29"/>
    <mergeCell ref="D27:F27"/>
    <mergeCell ref="I27:J27"/>
    <mergeCell ref="D25:F25"/>
    <mergeCell ref="I25:J25"/>
    <mergeCell ref="C24:E24"/>
    <mergeCell ref="D26:F26"/>
    <mergeCell ref="I26:J26"/>
    <mergeCell ref="D21:F21"/>
    <mergeCell ref="I21:J21"/>
    <mergeCell ref="D22:F22"/>
    <mergeCell ref="I22:J22"/>
    <mergeCell ref="D23:F23"/>
    <mergeCell ref="I23:J23"/>
    <mergeCell ref="D17:F17"/>
    <mergeCell ref="I17:J17"/>
    <mergeCell ref="D18:F18"/>
    <mergeCell ref="I18:J18"/>
    <mergeCell ref="D20:F20"/>
    <mergeCell ref="I20:J20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conditionalFormatting sqref="C24:C25">
    <cfRule type="duplicateValues" dxfId="140" priority="1"/>
  </conditionalFormatting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3E3E7-E96C-46A2-9E70-68B6B80F53CA}">
  <sheetPr codeName="Sheet84">
    <tabColor rgb="FF7030A0"/>
    <pageSetUpPr fitToPage="1"/>
  </sheetPr>
  <dimension ref="B1:V48"/>
  <sheetViews>
    <sheetView topLeftCell="A9" zoomScaleNormal="100" workbookViewId="0">
      <selection activeCell="B1" sqref="B1:L4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20.6328125" style="19" customWidth="1"/>
    <col min="7" max="7" width="8.54296875" style="19" customWidth="1"/>
    <col min="8" max="8" width="15.54296875" style="19" customWidth="1"/>
    <col min="9" max="9" width="2" style="19" customWidth="1"/>
    <col min="10" max="10" width="14.72656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1060</v>
      </c>
      <c r="J10" s="24" t="s">
        <v>27</v>
      </c>
      <c r="K10" s="464">
        <v>202412225</v>
      </c>
      <c r="L10" s="465"/>
    </row>
    <row r="11" spans="2:12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 xml:space="preserve">FOOD REPUBLIC PTE LTD                             Somerset Orchard@Drink stall No: 17   313 Orchard Road #05-01                Singapore 238895                           </v>
      </c>
      <c r="G11" s="470"/>
      <c r="H11" s="471"/>
      <c r="J11" s="26" t="s">
        <v>9</v>
      </c>
      <c r="K11" s="478">
        <v>45636</v>
      </c>
      <c r="L11" s="479"/>
    </row>
    <row r="12" spans="2:12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/>
      <c r="C18" s="212" t="s">
        <v>807</v>
      </c>
      <c r="D18" s="487" t="str">
        <f>VLOOKUP(C18,'Sales Master'!B$3:D$537,2,)</f>
        <v>Chin Chow  仙草</v>
      </c>
      <c r="E18" s="487"/>
      <c r="F18" s="487"/>
      <c r="G18" s="76">
        <v>3</v>
      </c>
      <c r="H18" s="183" t="str">
        <f>VLOOKUP(C18,'Sales Master'!$B$3:$F$2420,5,0)</f>
        <v>4 KG/ Pkt包</v>
      </c>
      <c r="I18" s="513" t="str">
        <f>VLOOKUP(C18,'Sales Master'!$B$3:$E$2420,4,0)</f>
        <v>TSM</v>
      </c>
      <c r="J18" s="513"/>
      <c r="K18" s="83">
        <f>VLOOKUP(C18,'Sales Master'!B$3:I$537,8,0)</f>
        <v>6</v>
      </c>
      <c r="L18" s="84">
        <f>K18*G18</f>
        <v>18</v>
      </c>
      <c r="N18" s="145">
        <f>VLOOKUP(C18,'Sales Master'!$B$3:$DA$2279,104,0)</f>
        <v>4</v>
      </c>
      <c r="O18" s="145">
        <f>K18-N18</f>
        <v>2</v>
      </c>
      <c r="P18" s="145">
        <f>O18*G18</f>
        <v>6</v>
      </c>
      <c r="Q18" s="170"/>
      <c r="R18" s="93"/>
      <c r="S18" s="93"/>
      <c r="T18" s="93"/>
      <c r="U18" s="93"/>
      <c r="V18" s="93"/>
    </row>
    <row r="19" spans="2:22" ht="20.149999999999999" customHeight="1" x14ac:dyDescent="0.45">
      <c r="B19" s="29"/>
      <c r="C19" s="212" t="s">
        <v>1009</v>
      </c>
      <c r="D19" s="487" t="str">
        <f>VLOOKUP(C19,'Sales Master'!B$3:D$537,2,)</f>
        <v>Pandan Leaf 班兰叶</v>
      </c>
      <c r="E19" s="487"/>
      <c r="F19" s="487"/>
      <c r="G19" s="76">
        <v>2</v>
      </c>
      <c r="H19" s="183" t="str">
        <f>VLOOKUP(C19,'Sales Master'!$B$3:$F$2420,5,0)</f>
        <v>1 KG</v>
      </c>
      <c r="I19" s="513" t="str">
        <f>VLOOKUP(C19,'Sales Master'!$B$3:$E$2420,4,0)</f>
        <v>-</v>
      </c>
      <c r="J19" s="513"/>
      <c r="K19" s="83">
        <f>VLOOKUP(C19,'Sales Master'!B$3:I$537,8,0)</f>
        <v>1.8</v>
      </c>
      <c r="L19" s="84">
        <f t="shared" ref="L19" si="0">K19*G19</f>
        <v>3.6</v>
      </c>
      <c r="N19" s="145">
        <f>VLOOKUP(C19,'Sales Master'!$B$3:$DA$2279,104,0)</f>
        <v>1.1000000000000001</v>
      </c>
      <c r="O19" s="145">
        <f t="shared" ref="O19" si="1">K19-N19</f>
        <v>0.7</v>
      </c>
      <c r="P19" s="145">
        <f t="shared" ref="P19" si="2">O19*G19</f>
        <v>1.4</v>
      </c>
      <c r="Q19" s="170"/>
      <c r="R19" s="93"/>
    </row>
    <row r="20" spans="2:22" ht="20.149999999999999" customHeight="1" x14ac:dyDescent="0.45">
      <c r="B20" s="29"/>
      <c r="C20" s="212"/>
      <c r="D20" s="487"/>
      <c r="E20" s="487"/>
      <c r="F20" s="487"/>
      <c r="G20" s="76"/>
      <c r="H20" s="183"/>
      <c r="I20" s="513"/>
      <c r="J20" s="513"/>
      <c r="K20" s="83"/>
      <c r="L20" s="84"/>
      <c r="N20" s="145"/>
      <c r="O20" s="145"/>
      <c r="P20" s="145"/>
      <c r="Q20" s="170"/>
    </row>
    <row r="21" spans="2:22" ht="20.149999999999999" customHeight="1" x14ac:dyDescent="0.45">
      <c r="B21" s="29"/>
      <c r="C21" s="212"/>
      <c r="D21" s="487"/>
      <c r="E21" s="487"/>
      <c r="F21" s="487"/>
      <c r="G21" s="76"/>
      <c r="H21" s="183"/>
      <c r="I21" s="513"/>
      <c r="J21" s="513"/>
      <c r="K21" s="83"/>
      <c r="L21" s="84"/>
      <c r="N21" s="145"/>
      <c r="O21" s="145"/>
      <c r="P21" s="145"/>
      <c r="Q21" s="170"/>
    </row>
    <row r="22" spans="2:22" ht="20.149999999999999" customHeight="1" x14ac:dyDescent="0.45">
      <c r="B22" s="29"/>
      <c r="C22" s="212"/>
      <c r="G22" s="76"/>
      <c r="H22" s="183"/>
      <c r="I22" s="209"/>
      <c r="J22" s="209"/>
      <c r="K22" s="83"/>
      <c r="L22" s="84"/>
      <c r="N22" s="145"/>
      <c r="O22" s="145"/>
      <c r="P22" s="145"/>
      <c r="Q22" s="170"/>
    </row>
    <row r="23" spans="2:22" ht="20.149999999999999" customHeight="1" x14ac:dyDescent="0.45">
      <c r="B23" s="29"/>
      <c r="D23" s="212"/>
      <c r="G23" s="76"/>
      <c r="H23" s="183"/>
      <c r="I23" s="209"/>
      <c r="J23" s="209"/>
      <c r="K23" s="83"/>
      <c r="L23" s="84"/>
      <c r="N23" s="145"/>
      <c r="O23" s="145"/>
      <c r="P23" s="145"/>
      <c r="Q23" s="170"/>
    </row>
    <row r="24" spans="2:22" ht="20.149999999999999" customHeight="1" x14ac:dyDescent="0.45">
      <c r="B24" s="29"/>
      <c r="D24" s="212"/>
      <c r="G24" s="76"/>
      <c r="H24" s="183"/>
      <c r="I24" s="209"/>
      <c r="J24" s="209"/>
      <c r="K24" s="83"/>
      <c r="L24" s="84"/>
      <c r="N24" s="145"/>
      <c r="O24" s="145"/>
      <c r="P24" s="145"/>
      <c r="Q24" s="170"/>
    </row>
    <row r="25" spans="2:22" ht="20.149999999999999" customHeight="1" x14ac:dyDescent="0.45">
      <c r="B25" s="29"/>
      <c r="D25" s="212"/>
      <c r="G25" s="76"/>
      <c r="H25" s="183"/>
      <c r="I25" s="513"/>
      <c r="J25" s="513"/>
      <c r="K25" s="83"/>
      <c r="L25" s="84"/>
      <c r="N25" s="145"/>
      <c r="O25" s="145"/>
      <c r="P25" s="145"/>
    </row>
    <row r="26" spans="2:22" ht="20.149999999999999" customHeight="1" x14ac:dyDescent="0.45">
      <c r="B26" s="29"/>
      <c r="D26" s="212"/>
      <c r="G26" s="76"/>
      <c r="H26" s="56"/>
      <c r="I26" s="494"/>
      <c r="J26" s="494"/>
      <c r="K26" s="30"/>
      <c r="L26" s="31"/>
    </row>
    <row r="27" spans="2:22" ht="20.149999999999999" customHeight="1" x14ac:dyDescent="0.45">
      <c r="B27" s="29"/>
      <c r="D27" s="404"/>
      <c r="F27" s="404"/>
      <c r="G27" s="147"/>
      <c r="H27" s="56"/>
      <c r="I27" s="56"/>
      <c r="J27" s="56"/>
      <c r="K27" s="30"/>
      <c r="L27" s="31"/>
    </row>
    <row r="28" spans="2:22" ht="20.149999999999999" customHeight="1" x14ac:dyDescent="0.45">
      <c r="B28" s="29"/>
      <c r="D28" s="404"/>
      <c r="F28" s="404"/>
      <c r="G28" s="147"/>
      <c r="H28" s="56"/>
      <c r="I28" s="56"/>
      <c r="J28" s="56"/>
      <c r="K28" s="30"/>
      <c r="L28" s="31"/>
    </row>
    <row r="29" spans="2:22" ht="20.149999999999999" customHeight="1" x14ac:dyDescent="0.45">
      <c r="B29" s="29"/>
      <c r="D29" s="212"/>
      <c r="G29" s="76"/>
      <c r="H29" s="56"/>
      <c r="I29" s="56"/>
      <c r="J29" s="56"/>
      <c r="K29" s="30"/>
      <c r="L29" s="31"/>
    </row>
    <row r="30" spans="2:22" ht="20.149999999999999" customHeight="1" x14ac:dyDescent="0.45">
      <c r="B30" s="29"/>
      <c r="D30" s="404"/>
      <c r="F30" s="404"/>
      <c r="G30" s="147"/>
      <c r="H30" s="56"/>
      <c r="I30" s="56"/>
      <c r="J30" s="56"/>
      <c r="K30" s="30"/>
      <c r="L30" s="31"/>
    </row>
    <row r="31" spans="2:22" ht="20.149999999999999" customHeight="1" x14ac:dyDescent="0.45">
      <c r="B31" s="29"/>
      <c r="G31" s="76"/>
      <c r="H31" s="56"/>
      <c r="I31" s="56"/>
      <c r="J31" s="56"/>
      <c r="K31" s="30"/>
      <c r="L31" s="31"/>
    </row>
    <row r="32" spans="2:22" ht="20.149999999999999" customHeight="1" x14ac:dyDescent="0.45">
      <c r="B32" s="29"/>
      <c r="C32" s="17"/>
      <c r="D32" s="487"/>
      <c r="E32" s="487"/>
      <c r="F32" s="487"/>
      <c r="G32" s="76"/>
      <c r="H32" s="56"/>
      <c r="I32" s="494"/>
      <c r="J32" s="494"/>
      <c r="K32" s="30"/>
      <c r="L32" s="31"/>
    </row>
    <row r="33" spans="2:14" ht="20.149999999999999" customHeight="1" x14ac:dyDescent="0.45">
      <c r="B33" s="29"/>
      <c r="C33" s="17"/>
      <c r="G33" s="76"/>
      <c r="H33" s="56"/>
      <c r="I33" s="56"/>
      <c r="J33" s="56"/>
      <c r="K33" s="30"/>
      <c r="L33" s="31"/>
    </row>
    <row r="34" spans="2:14" ht="20.149999999999999" customHeight="1" x14ac:dyDescent="0.45">
      <c r="B34" s="104"/>
      <c r="C34" s="105"/>
      <c r="D34" s="514"/>
      <c r="E34" s="514"/>
      <c r="F34" s="514"/>
      <c r="G34" s="105"/>
      <c r="H34" s="105"/>
      <c r="I34" s="124"/>
      <c r="J34" s="124"/>
      <c r="K34" s="108"/>
      <c r="L34" s="125"/>
    </row>
    <row r="35" spans="2:14" ht="20.149999999999999" customHeight="1" thickBot="1" x14ac:dyDescent="0.5">
      <c r="B35" s="36"/>
      <c r="L35" s="37"/>
    </row>
    <row r="36" spans="2:14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89" t="s">
        <v>13</v>
      </c>
      <c r="K36" s="490"/>
      <c r="L36" s="38">
        <f>SUM(L18:L35)</f>
        <v>21.6</v>
      </c>
      <c r="M36" s="63">
        <f>SUM(P18:P33)</f>
        <v>7.4</v>
      </c>
      <c r="N36" s="133">
        <f>M36/L36</f>
        <v>0.34259259259259256</v>
      </c>
    </row>
    <row r="37" spans="2:14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4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91" t="s">
        <v>19</v>
      </c>
      <c r="K38" s="492"/>
      <c r="L38" s="41">
        <f>L36-L37</f>
        <v>21.6</v>
      </c>
    </row>
    <row r="39" spans="2:14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1.944</v>
      </c>
    </row>
    <row r="40" spans="2:14" ht="20.149999999999999" customHeight="1" thickBot="1" x14ac:dyDescent="0.5">
      <c r="B40" s="10" t="s">
        <v>676</v>
      </c>
      <c r="C40" s="6"/>
      <c r="D40" s="6"/>
      <c r="E40" s="6"/>
      <c r="F40" s="6"/>
      <c r="G40" s="6"/>
      <c r="H40" s="6"/>
      <c r="I40" s="6"/>
      <c r="J40" s="485" t="s">
        <v>21</v>
      </c>
      <c r="K40" s="486"/>
      <c r="L40" s="43">
        <f>L38+L39</f>
        <v>23.544</v>
      </c>
    </row>
    <row r="41" spans="2:14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4" ht="20.149999999999999" customHeight="1" x14ac:dyDescent="0.45">
      <c r="B42" s="144" t="s">
        <v>666</v>
      </c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36"/>
      <c r="L45" s="37"/>
    </row>
    <row r="46" spans="2:14" ht="20.149999999999999" customHeight="1" x14ac:dyDescent="0.45">
      <c r="B46" s="44"/>
      <c r="C46" s="45"/>
      <c r="D46" s="45"/>
      <c r="J46" s="45"/>
      <c r="K46" s="45"/>
      <c r="L46" s="46"/>
    </row>
    <row r="47" spans="2:14" ht="20.149999999999999" customHeight="1" x14ac:dyDescent="0.45">
      <c r="B47" s="36" t="s">
        <v>25</v>
      </c>
      <c r="J47" s="19" t="s">
        <v>26</v>
      </c>
      <c r="L47" s="37"/>
    </row>
    <row r="48" spans="2:14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31">
    <mergeCell ref="J40:K40"/>
    <mergeCell ref="I26:J26"/>
    <mergeCell ref="D32:F32"/>
    <mergeCell ref="I32:J32"/>
    <mergeCell ref="D34:F34"/>
    <mergeCell ref="J36:K36"/>
    <mergeCell ref="J38:K38"/>
    <mergeCell ref="D20:F20"/>
    <mergeCell ref="I20:J20"/>
    <mergeCell ref="D21:F21"/>
    <mergeCell ref="I21:J21"/>
    <mergeCell ref="I25:J25"/>
    <mergeCell ref="I17:J17"/>
    <mergeCell ref="D18:F18"/>
    <mergeCell ref="I18:J18"/>
    <mergeCell ref="D19:F19"/>
    <mergeCell ref="I19:J19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20">
    <cfRule type="duplicateValues" dxfId="139" priority="1381"/>
  </conditionalFormatting>
  <conditionalFormatting sqref="C21:C22 D23:D24">
    <cfRule type="duplicateValues" dxfId="138" priority="2622"/>
  </conditionalFormatting>
  <conditionalFormatting sqref="D25">
    <cfRule type="duplicateValues" dxfId="137" priority="1371"/>
  </conditionalFormatting>
  <conditionalFormatting sqref="F30:G30 D26:D30 F27:G28">
    <cfRule type="duplicateValues" dxfId="136" priority="2557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809A-738C-4E4E-998F-3891A951AEF2}">
  <sheetPr codeName="Sheet46">
    <tabColor rgb="FFFFC000"/>
    <pageSetUpPr fitToPage="1"/>
  </sheetPr>
  <dimension ref="B1:P55"/>
  <sheetViews>
    <sheetView topLeftCell="B37" zoomScaleNormal="100" workbookViewId="0">
      <selection activeCell="C35" sqref="C3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8.816406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1066</v>
      </c>
      <c r="J10" s="24" t="s">
        <v>27</v>
      </c>
      <c r="K10" s="464">
        <v>202504272</v>
      </c>
      <c r="L10" s="465"/>
    </row>
    <row r="11" spans="2:12" ht="20.149999999999999" customHeight="1" x14ac:dyDescent="0.45">
      <c r="B11" s="466"/>
      <c r="C11" s="467"/>
      <c r="D11" s="468"/>
      <c r="E11" s="25"/>
      <c r="F11" s="469" t="str">
        <f>VLOOKUP(H10,'Delivery Location'!A$4:N$466,2,0)</f>
        <v>Rong Hua Desserts                                        Blk 10, Ubi Crescent #01-04.                         Ubi Tech Park Singapore 408564</v>
      </c>
      <c r="G11" s="470"/>
      <c r="H11" s="471"/>
      <c r="J11" s="26" t="s">
        <v>9</v>
      </c>
      <c r="K11" s="478">
        <v>45758</v>
      </c>
      <c r="L11" s="479"/>
    </row>
    <row r="12" spans="2:12" ht="20.149999999999999" customHeight="1" x14ac:dyDescent="0.45">
      <c r="B12" s="480"/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/>
      <c r="C13" s="453"/>
      <c r="D13" s="481"/>
      <c r="E13" s="25"/>
      <c r="F13" s="472"/>
      <c r="G13" s="473"/>
      <c r="H13" s="474"/>
      <c r="J13" s="26" t="s">
        <v>10</v>
      </c>
      <c r="K13" s="482" t="s">
        <v>687</v>
      </c>
      <c r="L13" s="483"/>
    </row>
    <row r="14" spans="2:12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08"/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58"/>
      <c r="C18" s="244" t="s">
        <v>697</v>
      </c>
      <c r="D18" s="446" t="str">
        <f>VLOOKUP(C18,'Sales Master'!B$3:D$537,2,)</f>
        <v xml:space="preserve">Fresh Soursop 红毛榴莲 </v>
      </c>
      <c r="E18" s="446"/>
      <c r="F18" s="446"/>
      <c r="G18" s="76">
        <v>1</v>
      </c>
      <c r="H18" s="186" t="str">
        <f>VLOOKUP(C18,'Sales Master'!$B$3:$F$2420,5,0)</f>
        <v>GW:5 KG/ Pkt包</v>
      </c>
      <c r="I18" s="484" t="str">
        <f>VLOOKUP(C18,'Sales Master'!$B$3:$E$2420,4,0)</f>
        <v>DO!</v>
      </c>
      <c r="J18" s="484"/>
      <c r="K18" s="83">
        <f>VLOOKUP(C18,'Sales Master'!$B$3:$BZ$2318,77,0)</f>
        <v>34</v>
      </c>
      <c r="L18" s="84">
        <f>K18*G18</f>
        <v>34</v>
      </c>
      <c r="M18" s="65"/>
      <c r="N18" s="145">
        <f>VLOOKUP(C18,'Sales Master'!$B$3:$DA$2279,104,0)</f>
        <v>24.39</v>
      </c>
      <c r="O18" s="145">
        <f>K18-N18</f>
        <v>9.61</v>
      </c>
      <c r="P18" s="145">
        <f>O18*G18</f>
        <v>9.61</v>
      </c>
    </row>
    <row r="19" spans="2:16" ht="20.149999999999999" customHeight="1" x14ac:dyDescent="0.45">
      <c r="B19" s="58"/>
      <c r="C19" s="244" t="s">
        <v>712</v>
      </c>
      <c r="D19" s="554" t="str">
        <f>VLOOKUP(C19,'Sales Master'!B$3:D$537,2,)</f>
        <v>Bobo ChaCha Cubes 摩摩喳喳</v>
      </c>
      <c r="E19" s="554"/>
      <c r="F19" s="554"/>
      <c r="G19" s="76">
        <v>1</v>
      </c>
      <c r="H19" s="186" t="str">
        <f>VLOOKUP(C19,'Sales Master'!$B$3:$F$2420,5,0)</f>
        <v>800 GM/ Bag包</v>
      </c>
      <c r="I19" s="484" t="str">
        <f>VLOOKUP(C19,'Sales Master'!$B$3:$E$2420,4,0)</f>
        <v>DO!</v>
      </c>
      <c r="J19" s="484"/>
      <c r="K19" s="83">
        <f>VLOOKUP(C19,'Sales Master'!$B$3:$BZ$2318,77,0)</f>
        <v>7</v>
      </c>
      <c r="L19" s="84">
        <f>K19*G19</f>
        <v>7</v>
      </c>
      <c r="M19" s="65"/>
      <c r="N19" s="145">
        <f>VLOOKUP(C19,'Sales Master'!$B$3:$DA$2279,104,0)</f>
        <v>0.89</v>
      </c>
      <c r="O19" s="145">
        <f>K19-N19</f>
        <v>6.11</v>
      </c>
      <c r="P19" s="145">
        <f>O19*G19</f>
        <v>6.11</v>
      </c>
    </row>
    <row r="20" spans="2:16" ht="20.149999999999999" customHeight="1" x14ac:dyDescent="0.45">
      <c r="B20" s="58"/>
      <c r="C20" s="244" t="s">
        <v>715</v>
      </c>
      <c r="D20" s="446" t="str">
        <f>VLOOKUP(C20,'Sales Master'!B$3:D$537,2,)</f>
        <v>Coconut Sugar Syrup 椰糖浆</v>
      </c>
      <c r="E20" s="446"/>
      <c r="F20" s="446"/>
      <c r="G20" s="76">
        <v>1</v>
      </c>
      <c r="H20" s="186" t="str">
        <f>VLOOKUP(C20,'Sales Master'!$B$3:$F$2420,5,0)</f>
        <v>GW: 5 KG/ Btl支</v>
      </c>
      <c r="I20" s="484" t="str">
        <f>VLOOKUP(C20,'Sales Master'!$B$3:$E$2420,4,0)</f>
        <v>DO!</v>
      </c>
      <c r="J20" s="484"/>
      <c r="K20" s="83">
        <f>VLOOKUP(C20,'Sales Master'!$B$3:$BZ$2318,77,0)</f>
        <v>20</v>
      </c>
      <c r="L20" s="84">
        <f t="shared" ref="L20:L27" si="0">K20*G20</f>
        <v>20</v>
      </c>
      <c r="M20" s="65"/>
      <c r="N20" s="145">
        <f>VLOOKUP(C20,'Sales Master'!$B$3:$DA$2279,104,0)</f>
        <v>8.89</v>
      </c>
      <c r="O20" s="145">
        <f t="shared" ref="O20:O27" si="1">K20-N20</f>
        <v>11.11</v>
      </c>
      <c r="P20" s="145">
        <f t="shared" ref="P20:P27" si="2">O20*G20</f>
        <v>11.11</v>
      </c>
    </row>
    <row r="21" spans="2:16" ht="20.149999999999999" customHeight="1" x14ac:dyDescent="0.45">
      <c r="B21" s="58"/>
      <c r="C21" s="244" t="s">
        <v>753</v>
      </c>
      <c r="D21" s="554" t="str">
        <f>VLOOKUP(C21,'Sales Master'!B$3:D$537,2,)</f>
        <v>Agar Strip 菜燕条</v>
      </c>
      <c r="E21" s="554"/>
      <c r="F21" s="554"/>
      <c r="G21" s="76">
        <v>1</v>
      </c>
      <c r="H21" s="186" t="str">
        <f>VLOOKUP(C21,'Sales Master'!$B$3:$F$2420,5,0)</f>
        <v>1 kg</v>
      </c>
      <c r="I21" s="484" t="str">
        <f>VLOOKUP(C21,'Sales Master'!$B$3:$E$2420,4,0)</f>
        <v>-</v>
      </c>
      <c r="J21" s="484"/>
      <c r="K21" s="83">
        <f>VLOOKUP(C21,'Sales Master'!$B$3:$BZ$2318,77,0)</f>
        <v>31</v>
      </c>
      <c r="L21" s="84">
        <f t="shared" si="0"/>
        <v>31</v>
      </c>
      <c r="M21" s="65"/>
      <c r="N21" s="145">
        <f>VLOOKUP(C21,'Sales Master'!$B$3:$DA$2279,104,0)</f>
        <v>23</v>
      </c>
      <c r="O21" s="145">
        <f t="shared" si="1"/>
        <v>8</v>
      </c>
      <c r="P21" s="145">
        <f t="shared" si="2"/>
        <v>8</v>
      </c>
    </row>
    <row r="22" spans="2:16" ht="20.149999999999999" customHeight="1" x14ac:dyDescent="0.45">
      <c r="B22" s="58"/>
      <c r="C22" s="244" t="s">
        <v>786</v>
      </c>
      <c r="D22" s="446" t="str">
        <f>VLOOKUP(C22,'Sales Master'!B$3:D$537,2,)</f>
        <v>Tapioca Flour 茨粉</v>
      </c>
      <c r="E22" s="446"/>
      <c r="F22" s="446"/>
      <c r="G22" s="76">
        <v>5</v>
      </c>
      <c r="H22" s="186" t="str">
        <f>VLOOKUP(C22,'Sales Master'!$B$3:$F$2420,5,0)</f>
        <v xml:space="preserve">500 GM/pkt </v>
      </c>
      <c r="I22" s="484" t="str">
        <f>VLOOKUP(C22,'Sales Master'!$B$3:$E$2420,4,0)</f>
        <v>F/man 飞人</v>
      </c>
      <c r="J22" s="484"/>
      <c r="K22" s="83">
        <f>VLOOKUP(C22,'Sales Master'!$B$3:$BZ$2318,77,0)</f>
        <v>0.8</v>
      </c>
      <c r="L22" s="84">
        <f t="shared" si="0"/>
        <v>4</v>
      </c>
      <c r="M22" s="65"/>
      <c r="N22" s="145">
        <f>VLOOKUP(C22,'Sales Master'!$B$3:$DA$2279,104,0)</f>
        <v>0.62</v>
      </c>
      <c r="O22" s="145">
        <f t="shared" si="1"/>
        <v>0.18000000000000005</v>
      </c>
      <c r="P22" s="145">
        <f t="shared" si="2"/>
        <v>0.90000000000000024</v>
      </c>
    </row>
    <row r="23" spans="2:16" ht="20.149999999999999" customHeight="1" x14ac:dyDescent="0.45">
      <c r="B23" s="58"/>
      <c r="C23" s="244" t="s">
        <v>804</v>
      </c>
      <c r="D23" s="446" t="str">
        <f>VLOOKUP(C23,'Sales Master'!B$3:D$537,2,)</f>
        <v>Atap Seeds in Syrup 亚嗒子</v>
      </c>
      <c r="E23" s="446"/>
      <c r="F23" s="446"/>
      <c r="G23" s="76">
        <v>1</v>
      </c>
      <c r="H23" s="186" t="str">
        <f>VLOOKUP(C23,'Sales Master'!$B$3:$F$2420,5,0)</f>
        <v>NW(2.1:0.9) 3kg/ Bag包</v>
      </c>
      <c r="I23" s="484" t="str">
        <f>VLOOKUP(C23,'Sales Master'!$B$3:$E$2420,4,0)</f>
        <v>DO!</v>
      </c>
      <c r="J23" s="484"/>
      <c r="K23" s="83">
        <f>VLOOKUP(C23,'Sales Master'!$B$3:$BZ$2318,77,0)</f>
        <v>13.5</v>
      </c>
      <c r="L23" s="84">
        <f>K23*G23</f>
        <v>13.5</v>
      </c>
      <c r="M23" s="65"/>
      <c r="N23" s="145">
        <f>VLOOKUP(C23,'Sales Master'!$B$3:$DA$2279,104,0)</f>
        <v>9.6</v>
      </c>
      <c r="O23" s="145">
        <f>K23-N23</f>
        <v>3.9000000000000004</v>
      </c>
      <c r="P23" s="145">
        <f>O23*G23</f>
        <v>3.9000000000000004</v>
      </c>
    </row>
    <row r="24" spans="2:16" ht="20.149999999999999" customHeight="1" x14ac:dyDescent="0.45">
      <c r="B24" s="58"/>
      <c r="C24" s="244" t="s">
        <v>812</v>
      </c>
      <c r="D24" s="446" t="str">
        <f>VLOOKUP(C24,'Sales Master'!B$3:D$537,2,)</f>
        <v>Red Bean 红豆 (5.5 mm)</v>
      </c>
      <c r="E24" s="446"/>
      <c r="F24" s="446"/>
      <c r="G24" s="76">
        <v>2</v>
      </c>
      <c r="H24" s="186" t="str">
        <f>VLOOKUP(C24,'Sales Master'!$B$3:$F$2420,5,0)</f>
        <v>5 KG</v>
      </c>
      <c r="I24" s="484" t="str">
        <f>VLOOKUP(C24,'Sales Master'!$B$3:$E$2420,4,0)</f>
        <v>-</v>
      </c>
      <c r="J24" s="484"/>
      <c r="K24" s="83">
        <f>VLOOKUP(C24,'Sales Master'!$B$3:$BZ$2318,77,0)</f>
        <v>19</v>
      </c>
      <c r="L24" s="84">
        <f>K24*G24</f>
        <v>38</v>
      </c>
      <c r="M24" s="65"/>
      <c r="N24" s="145">
        <f>VLOOKUP(C24,'Sales Master'!$B$3:$DA$2279,104,0)</f>
        <v>12.5</v>
      </c>
      <c r="O24" s="145">
        <f>K24-N24</f>
        <v>6.5</v>
      </c>
      <c r="P24" s="145">
        <f>O24*G24</f>
        <v>13</v>
      </c>
    </row>
    <row r="25" spans="2:16" ht="20.149999999999999" customHeight="1" x14ac:dyDescent="0.45">
      <c r="B25" s="58"/>
      <c r="C25" s="244" t="s">
        <v>825</v>
      </c>
      <c r="D25" s="446" t="str">
        <f>VLOOKUP(C25,'Sales Master'!B$3:D$537,2,)</f>
        <v>Green Bean 绿豆</v>
      </c>
      <c r="E25" s="446"/>
      <c r="F25" s="446"/>
      <c r="G25" s="76">
        <v>1</v>
      </c>
      <c r="H25" s="186" t="str">
        <f>VLOOKUP(C25,'Sales Master'!$B$3:$F$2420,5,0)</f>
        <v>5 KG</v>
      </c>
      <c r="I25" s="484" t="str">
        <f>VLOOKUP(C25,'Sales Master'!$B$3:$E$2420,4,0)</f>
        <v>-</v>
      </c>
      <c r="J25" s="484"/>
      <c r="K25" s="83">
        <f>VLOOKUP(C25,'Sales Master'!$B$3:$BZ$2318,77,0)</f>
        <v>14</v>
      </c>
      <c r="L25" s="84">
        <f t="shared" si="0"/>
        <v>14</v>
      </c>
      <c r="M25" s="65"/>
      <c r="N25" s="145">
        <f>VLOOKUP(C25,'Sales Master'!$B$3:$DA$2279,104,0)</f>
        <v>8.75</v>
      </c>
      <c r="O25" s="145">
        <f t="shared" si="1"/>
        <v>5.25</v>
      </c>
      <c r="P25" s="145">
        <f t="shared" si="2"/>
        <v>5.25</v>
      </c>
    </row>
    <row r="26" spans="2:16" ht="20.149999999999999" customHeight="1" x14ac:dyDescent="0.45">
      <c r="B26" s="58"/>
      <c r="C26" s="244" t="s">
        <v>831</v>
      </c>
      <c r="D26" s="446" t="str">
        <f>VLOOKUP(C26,'Sales Master'!B$3:D$537,2,)</f>
        <v>Split Green Mung Bean 豆爽</v>
      </c>
      <c r="E26" s="446"/>
      <c r="F26" s="446"/>
      <c r="G26" s="76">
        <v>1</v>
      </c>
      <c r="H26" s="186" t="str">
        <f>VLOOKUP(C26,'Sales Master'!$B$3:$F$2420,5,0)</f>
        <v>5 KG</v>
      </c>
      <c r="I26" s="484" t="str">
        <f>VLOOKUP(C26,'Sales Master'!$B$3:$E$2420,4,0)</f>
        <v>-</v>
      </c>
      <c r="J26" s="484"/>
      <c r="K26" s="83">
        <f>VLOOKUP(C26,'Sales Master'!$B$3:$BZ$2318,77,0)</f>
        <v>18</v>
      </c>
      <c r="L26" s="84">
        <f t="shared" si="0"/>
        <v>18</v>
      </c>
      <c r="M26" s="65"/>
      <c r="N26" s="145">
        <f>VLOOKUP(C26,'Sales Master'!$B$3:$DA$2279,104,0)</f>
        <v>12.833333333333334</v>
      </c>
      <c r="O26" s="145">
        <f t="shared" si="1"/>
        <v>5.1666666666666661</v>
      </c>
      <c r="P26" s="145">
        <f t="shared" si="2"/>
        <v>5.1666666666666661</v>
      </c>
    </row>
    <row r="27" spans="2:16" ht="20.149999999999999" customHeight="1" x14ac:dyDescent="0.45">
      <c r="B27" s="58"/>
      <c r="C27" s="244" t="s">
        <v>837</v>
      </c>
      <c r="D27" s="446" t="str">
        <f>VLOOKUP(C27,'Sales Master'!B$3:D$537,2,)</f>
        <v>Black Glutinous Rice 黑糯米</v>
      </c>
      <c r="E27" s="446"/>
      <c r="F27" s="446"/>
      <c r="G27" s="76">
        <v>1</v>
      </c>
      <c r="H27" s="186" t="str">
        <f>VLOOKUP(C27,'Sales Master'!$B$3:$F$2420,5,0)</f>
        <v>5 KGS</v>
      </c>
      <c r="I27" s="484" t="str">
        <f>VLOOKUP(C27,'Sales Master'!$B$3:$E$2420,4,0)</f>
        <v>-</v>
      </c>
      <c r="J27" s="484"/>
      <c r="K27" s="83">
        <f>VLOOKUP(C27,'Sales Master'!$B$3:$BZ$2318,77,0)</f>
        <v>18</v>
      </c>
      <c r="L27" s="84">
        <f t="shared" si="0"/>
        <v>18</v>
      </c>
      <c r="M27" s="65"/>
      <c r="N27" s="145">
        <f>VLOOKUP(C27,'Sales Master'!$B$3:$DA$2279,104,0)</f>
        <v>12</v>
      </c>
      <c r="O27" s="145">
        <f t="shared" si="1"/>
        <v>6</v>
      </c>
      <c r="P27" s="145">
        <f t="shared" si="2"/>
        <v>6</v>
      </c>
    </row>
    <row r="28" spans="2:16" ht="20.149999999999999" customHeight="1" x14ac:dyDescent="0.45">
      <c r="B28" s="58"/>
      <c r="C28" s="244" t="s">
        <v>846</v>
      </c>
      <c r="D28" s="446" t="str">
        <f>VLOOKUP(C28,'Sales Master'!B$3:D$537,2,)</f>
        <v>Pearl Barley 薏米</v>
      </c>
      <c r="E28" s="446"/>
      <c r="F28" s="446"/>
      <c r="G28" s="76">
        <v>1</v>
      </c>
      <c r="H28" s="186" t="str">
        <f>VLOOKUP(C28,'Sales Master'!$B$3:$F$2420,5,0)</f>
        <v>5 KG</v>
      </c>
      <c r="I28" s="484" t="str">
        <f>VLOOKUP(C28,'Sales Master'!$B$3:$E$2420,4,0)</f>
        <v>-</v>
      </c>
      <c r="J28" s="484"/>
      <c r="K28" s="83">
        <f>VLOOKUP(C28,'Sales Master'!$B$3:$BZ$2318,77,0)</f>
        <v>10</v>
      </c>
      <c r="L28" s="84">
        <f t="shared" ref="L28:L34" si="3">K28*G28</f>
        <v>10</v>
      </c>
      <c r="M28" s="65"/>
      <c r="N28" s="145">
        <f>VLOOKUP(C28,'Sales Master'!$B$3:$DA$2279,104,0)</f>
        <v>7.6</v>
      </c>
      <c r="O28" s="145">
        <f t="shared" ref="O28:O34" si="4">K28-N28</f>
        <v>2.4000000000000004</v>
      </c>
      <c r="P28" s="145">
        <f t="shared" ref="P28:P34" si="5">O28*G28</f>
        <v>2.4000000000000004</v>
      </c>
    </row>
    <row r="29" spans="2:16" ht="20.149999999999999" customHeight="1" x14ac:dyDescent="0.45">
      <c r="B29" s="58"/>
      <c r="C29" s="244" t="s">
        <v>853</v>
      </c>
      <c r="D29" s="446" t="str">
        <f>VLOOKUP(C29,'Sales Master'!B$3:D$537,2,)</f>
        <v>Small Sago 小丸</v>
      </c>
      <c r="E29" s="446"/>
      <c r="F29" s="446"/>
      <c r="G29" s="76">
        <v>1</v>
      </c>
      <c r="H29" s="186" t="str">
        <f>VLOOKUP(C29,'Sales Master'!$B$3:$F$2420,5,0)</f>
        <v>5 KG</v>
      </c>
      <c r="I29" s="484" t="str">
        <f>VLOOKUP(C29,'Sales Master'!$B$3:$E$2420,4,0)</f>
        <v>-</v>
      </c>
      <c r="J29" s="484"/>
      <c r="K29" s="83">
        <f>VLOOKUP(C29,'Sales Master'!$B$3:$BZ$2318,77,0)</f>
        <v>11</v>
      </c>
      <c r="L29" s="84">
        <f t="shared" si="3"/>
        <v>11</v>
      </c>
      <c r="M29" s="65"/>
      <c r="N29" s="145">
        <f>VLOOKUP(C29,'Sales Master'!$B$3:$DA$2279,104,0)</f>
        <v>0.70833333333333326</v>
      </c>
      <c r="O29" s="145">
        <f t="shared" si="4"/>
        <v>10.291666666666666</v>
      </c>
      <c r="P29" s="145">
        <f t="shared" si="5"/>
        <v>10.291666666666666</v>
      </c>
    </row>
    <row r="30" spans="2:16" ht="20.149999999999999" customHeight="1" x14ac:dyDescent="0.45">
      <c r="B30" s="58"/>
      <c r="C30" s="244" t="s">
        <v>859</v>
      </c>
      <c r="D30" s="446" t="str">
        <f>VLOOKUP(C30,'Sales Master'!B$3:D$537,2,)</f>
        <v>Dried Longan 龙眼干</v>
      </c>
      <c r="E30" s="446"/>
      <c r="F30" s="446"/>
      <c r="G30" s="76">
        <v>2</v>
      </c>
      <c r="H30" s="186" t="str">
        <f>VLOOKUP(C30,'Sales Master'!$B$3:$F$2420,5,0)</f>
        <v>1 kg</v>
      </c>
      <c r="I30" s="484" t="str">
        <f>VLOOKUP(C30,'Sales Master'!$B$3:$E$2420,4,0)</f>
        <v>中</v>
      </c>
      <c r="J30" s="484"/>
      <c r="K30" s="83">
        <f>VLOOKUP(C30,'Sales Master'!$B$3:$BZ$2318,77,0)</f>
        <v>13.5</v>
      </c>
      <c r="L30" s="84">
        <f t="shared" si="3"/>
        <v>27</v>
      </c>
      <c r="M30" s="65"/>
      <c r="N30" s="145">
        <f>VLOOKUP(C30,'Sales Master'!$B$3:$DA$2279,104,0)</f>
        <v>9.6999999999999993</v>
      </c>
      <c r="O30" s="145">
        <f t="shared" si="4"/>
        <v>3.8000000000000007</v>
      </c>
      <c r="P30" s="145">
        <f t="shared" si="5"/>
        <v>7.6000000000000014</v>
      </c>
    </row>
    <row r="31" spans="2:16" ht="20.149999999999999" customHeight="1" x14ac:dyDescent="0.45">
      <c r="B31" s="58"/>
      <c r="C31" s="244" t="s">
        <v>862</v>
      </c>
      <c r="D31" s="446" t="str">
        <f>VLOOKUP(C31,'Sales Master'!B$3:D$537,2,)</f>
        <v>Fungus黄 木耳朵</v>
      </c>
      <c r="E31" s="446"/>
      <c r="F31" s="446"/>
      <c r="G31" s="76">
        <v>1</v>
      </c>
      <c r="H31" s="186" t="str">
        <f>VLOOKUP(C31,'Sales Master'!$B$3:$F$2420,5,0)</f>
        <v>1 kg</v>
      </c>
      <c r="I31" s="484" t="str">
        <f>VLOOKUP(C31,'Sales Master'!$B$3:$E$2420,4,0)</f>
        <v>黄</v>
      </c>
      <c r="J31" s="484"/>
      <c r="K31" s="83">
        <f>VLOOKUP(C31,'Sales Master'!$B$3:$BZ$2318,77,0)</f>
        <v>17</v>
      </c>
      <c r="L31" s="84">
        <f t="shared" si="3"/>
        <v>17</v>
      </c>
      <c r="M31" s="65"/>
      <c r="N31" s="145">
        <f>VLOOKUP(C31,'Sales Master'!$B$3:$DA$2279,104,0)</f>
        <v>11</v>
      </c>
      <c r="O31" s="145">
        <f t="shared" si="4"/>
        <v>6</v>
      </c>
      <c r="P31" s="145">
        <f t="shared" si="5"/>
        <v>6</v>
      </c>
    </row>
    <row r="32" spans="2:16" ht="20.149999999999999" customHeight="1" x14ac:dyDescent="0.45">
      <c r="B32" s="58"/>
      <c r="C32" s="244" t="s">
        <v>863</v>
      </c>
      <c r="D32" s="446" t="str">
        <f>VLOOKUP(C32,'Sales Master'!B$3:D$537,2,)</f>
        <v>Lotus Seed 莲子(无）</v>
      </c>
      <c r="E32" s="446"/>
      <c r="F32" s="446"/>
      <c r="G32" s="76">
        <v>1</v>
      </c>
      <c r="H32" s="186" t="str">
        <f>VLOOKUP(C32,'Sales Master'!$B$3:$F$2420,5,0)</f>
        <v>1 kg</v>
      </c>
      <c r="I32" s="484" t="str">
        <f>VLOOKUP(C32,'Sales Master'!$B$3:$E$2420,4,0)</f>
        <v>中</v>
      </c>
      <c r="J32" s="484"/>
      <c r="K32" s="83">
        <f>VLOOKUP(C32,'Sales Master'!$B$3:$BZ$2318,77,0)</f>
        <v>24</v>
      </c>
      <c r="L32" s="84">
        <f t="shared" si="3"/>
        <v>24</v>
      </c>
      <c r="M32" s="65"/>
      <c r="N32" s="145">
        <f>VLOOKUP(C32,'Sales Master'!$B$3:$DA$2279,104,0)</f>
        <v>20</v>
      </c>
      <c r="O32" s="145">
        <f t="shared" si="4"/>
        <v>4</v>
      </c>
      <c r="P32" s="145">
        <f t="shared" si="5"/>
        <v>4</v>
      </c>
    </row>
    <row r="33" spans="2:16" ht="20.149999999999999" customHeight="1" x14ac:dyDescent="0.45">
      <c r="B33" s="58"/>
      <c r="C33" s="244" t="s">
        <v>939</v>
      </c>
      <c r="D33" s="446" t="str">
        <f>VLOOKUP(C33,'Sales Master'!B$3:D$537,2,)</f>
        <v>Fruit Cocktail 杂果</v>
      </c>
      <c r="E33" s="446"/>
      <c r="F33" s="446"/>
      <c r="G33" s="76">
        <v>1</v>
      </c>
      <c r="H33" s="186" t="str">
        <f>VLOOKUP(C33,'Sales Master'!$B$3:$F$2420,5,0)</f>
        <v>820 GM x 12/ Ctn箱</v>
      </c>
      <c r="I33" s="484" t="str">
        <f>VLOOKUP(C33,'Sales Master'!$B$3:$E$2420,4,0)</f>
        <v>Statue</v>
      </c>
      <c r="J33" s="484"/>
      <c r="K33" s="83">
        <f>VLOOKUP(C33,'Sales Master'!$B$3:$BZ$2318,77,0)</f>
        <v>38</v>
      </c>
      <c r="L33" s="84">
        <f t="shared" si="3"/>
        <v>38</v>
      </c>
      <c r="M33" s="65"/>
      <c r="N33" s="145">
        <f>VLOOKUP(C33,'Sales Master'!$B$3:$DA$2279,104,0)</f>
        <v>33</v>
      </c>
      <c r="O33" s="145">
        <f t="shared" si="4"/>
        <v>5</v>
      </c>
      <c r="P33" s="145">
        <f t="shared" si="5"/>
        <v>5</v>
      </c>
    </row>
    <row r="34" spans="2:16" ht="20.149999999999999" customHeight="1" x14ac:dyDescent="0.45">
      <c r="B34" s="58"/>
      <c r="C34" s="212" t="s">
        <v>1004</v>
      </c>
      <c r="D34" s="446" t="str">
        <f>VLOOKUP(C34,'Sales Master'!B$3:D$537,2,)</f>
        <v>Sweet Potato 番薯</v>
      </c>
      <c r="E34" s="446"/>
      <c r="F34" s="446"/>
      <c r="G34" s="17">
        <v>3</v>
      </c>
      <c r="H34" s="186" t="str">
        <f>VLOOKUP(C34,'Sales Master'!$B$3:$F$2420,5,0)</f>
        <v>1 KG</v>
      </c>
      <c r="I34" s="484" t="str">
        <f>VLOOKUP(C34,'Sales Master'!$B$3:$E$2420,4,0)</f>
        <v>-</v>
      </c>
      <c r="J34" s="484"/>
      <c r="K34" s="83">
        <f>VLOOKUP(C34,'Sales Master'!$B$3:$BZ$2318,77,0)</f>
        <v>2.6</v>
      </c>
      <c r="L34" s="84">
        <f t="shared" si="3"/>
        <v>7.8000000000000007</v>
      </c>
      <c r="M34" s="65"/>
      <c r="N34" s="145">
        <f>VLOOKUP(C34,'Sales Master'!$B$3:$DA$2279,104,0)</f>
        <v>1.675</v>
      </c>
      <c r="O34" s="145">
        <f t="shared" si="4"/>
        <v>0.92500000000000004</v>
      </c>
      <c r="P34" s="145">
        <f t="shared" si="5"/>
        <v>2.7750000000000004</v>
      </c>
    </row>
    <row r="35" spans="2:16" ht="20.149999999999999" customHeight="1" x14ac:dyDescent="0.45">
      <c r="B35" s="58"/>
      <c r="C35" s="212" t="s">
        <v>1009</v>
      </c>
      <c r="D35" s="446" t="str">
        <f>VLOOKUP(C35,'Sales Master'!B$3:D$537,2,)</f>
        <v>Pandan Leaf 班兰叶</v>
      </c>
      <c r="E35" s="446"/>
      <c r="F35" s="446"/>
      <c r="G35" s="17">
        <v>2</v>
      </c>
      <c r="H35" s="186" t="str">
        <f>VLOOKUP(C35,'Sales Master'!$B$3:$F$2420,5,0)</f>
        <v>1 KG</v>
      </c>
      <c r="I35" s="484" t="str">
        <f>VLOOKUP(C35,'Sales Master'!$B$3:$E$2420,4,0)</f>
        <v>-</v>
      </c>
      <c r="J35" s="484"/>
      <c r="K35" s="83">
        <f>VLOOKUP(C35,'Sales Master'!$B$3:$BZ$2318,77,0)</f>
        <v>2</v>
      </c>
      <c r="L35" s="84">
        <f t="shared" ref="L35" si="6">K35*G35</f>
        <v>4</v>
      </c>
      <c r="M35" s="65"/>
      <c r="N35" s="145">
        <f>VLOOKUP(C35,'Sales Master'!$B$3:$DA$2279,104,0)</f>
        <v>1.1000000000000001</v>
      </c>
      <c r="O35" s="145">
        <f t="shared" ref="O35" si="7">K35-N35</f>
        <v>0.89999999999999991</v>
      </c>
      <c r="P35" s="145">
        <f t="shared" ref="P35" si="8">O35*G35</f>
        <v>1.7999999999999998</v>
      </c>
    </row>
    <row r="36" spans="2:16" ht="20.149999999999999" customHeight="1" x14ac:dyDescent="0.45">
      <c r="B36" s="58"/>
      <c r="C36" s="212"/>
      <c r="D36" s="65"/>
      <c r="E36" s="65"/>
      <c r="F36" s="65"/>
      <c r="G36" s="17"/>
      <c r="H36" s="186"/>
      <c r="I36" s="208"/>
      <c r="J36" s="208"/>
      <c r="K36" s="83"/>
      <c r="L36" s="84"/>
      <c r="M36" s="65"/>
      <c r="N36" s="145"/>
      <c r="O36" s="145"/>
      <c r="P36" s="145"/>
    </row>
    <row r="37" spans="2:16" ht="20.149999999999999" customHeight="1" x14ac:dyDescent="0.45">
      <c r="B37" s="58"/>
      <c r="C37" s="212"/>
      <c r="D37" s="65"/>
      <c r="E37" s="65"/>
      <c r="F37" s="65"/>
      <c r="G37" s="17"/>
      <c r="H37" s="186"/>
      <c r="I37" s="208"/>
      <c r="J37" s="208"/>
      <c r="K37" s="83"/>
      <c r="L37" s="84"/>
      <c r="M37" s="65"/>
      <c r="N37" s="145"/>
      <c r="O37" s="145"/>
      <c r="P37" s="145"/>
    </row>
    <row r="38" spans="2:16" ht="20.149999999999999" customHeight="1" x14ac:dyDescent="0.45">
      <c r="B38" s="58"/>
      <c r="C38" s="149" t="s">
        <v>2296</v>
      </c>
      <c r="D38" s="403"/>
      <c r="E38" s="403"/>
      <c r="F38" s="403"/>
      <c r="G38" s="76"/>
      <c r="H38" s="186"/>
      <c r="I38" s="484"/>
      <c r="J38" s="484"/>
      <c r="K38" s="190"/>
      <c r="L38" s="84"/>
      <c r="M38" s="65"/>
      <c r="N38" s="145"/>
      <c r="O38" s="145"/>
      <c r="P38" s="145"/>
    </row>
    <row r="39" spans="2:16" ht="20.149999999999999" customHeight="1" x14ac:dyDescent="0.45">
      <c r="B39" s="58"/>
      <c r="C39" s="212" t="s">
        <v>712</v>
      </c>
      <c r="D39" s="554" t="str">
        <f>VLOOKUP(C39,'Sales Master'!B$3:D$537,2,)</f>
        <v>Bobo ChaCha Cubes 摩摩喳喳</v>
      </c>
      <c r="E39" s="554"/>
      <c r="F39" s="554"/>
      <c r="G39" s="17">
        <v>1</v>
      </c>
      <c r="H39" s="183" t="str">
        <f>VLOOKUP(C39,'Sales Master'!$B$3:$F$2420,5,0)</f>
        <v>800 GM/ Bag包</v>
      </c>
      <c r="I39" s="513" t="str">
        <f>VLOOKUP(C39,'Sales Master'!$B$3:$E$2420,4,0)</f>
        <v>DO!</v>
      </c>
      <c r="J39" s="513"/>
      <c r="K39" s="190">
        <v>8</v>
      </c>
      <c r="L39" s="84"/>
      <c r="M39" s="65"/>
      <c r="N39" s="145"/>
      <c r="O39" s="145"/>
      <c r="P39" s="145"/>
    </row>
    <row r="40" spans="2:16" ht="20.149999999999999" customHeight="1" x14ac:dyDescent="0.45">
      <c r="B40" s="58"/>
      <c r="C40" s="212" t="s">
        <v>745</v>
      </c>
      <c r="D40" s="553" t="str">
        <f>VLOOKUP(C40,'Sales Master'!B$3:D$537,2,)</f>
        <v>Jelly Powder 文头雪粉 (Carrageenan)</v>
      </c>
      <c r="E40" s="553"/>
      <c r="F40" s="553"/>
      <c r="G40" s="76">
        <v>1</v>
      </c>
      <c r="H40" s="183" t="str">
        <f>VLOOKUP(C40,'Sales Master'!$B$3:$F$2420,5,0)</f>
        <v>42gm x 10PKT/Bag</v>
      </c>
      <c r="I40" s="513" t="str">
        <f>VLOOKUP(C40,'Sales Master'!$B$3:$E$2420,4,0)</f>
        <v>500/4000</v>
      </c>
      <c r="J40" s="513"/>
      <c r="K40" s="190">
        <v>28</v>
      </c>
      <c r="L40" s="84"/>
      <c r="M40" s="65"/>
      <c r="N40" s="145"/>
      <c r="O40" s="145"/>
      <c r="P40" s="145"/>
    </row>
    <row r="41" spans="2:16" ht="20.149999999999999" customHeight="1" x14ac:dyDescent="0.45">
      <c r="B41" s="58"/>
      <c r="C41" s="212" t="s">
        <v>936</v>
      </c>
      <c r="D41" s="446" t="str">
        <f>VLOOKUP(C41,'Sales Master'!B$3:D$537,2,)</f>
        <v>Lychee in Syrup 荔枝</v>
      </c>
      <c r="E41" s="446"/>
      <c r="F41" s="446"/>
      <c r="G41" s="76">
        <v>1</v>
      </c>
      <c r="H41" s="183" t="str">
        <f>VLOOKUP(C41,'Sales Master'!$B$3:$F$2420,5,0)</f>
        <v>12can/箱</v>
      </c>
      <c r="I41" s="513" t="str">
        <f>VLOOKUP(C41,'Sales Master'!$B$3:$E$2420,4,0)</f>
        <v>MiLi</v>
      </c>
      <c r="J41" s="513"/>
      <c r="K41" s="190">
        <v>27.5</v>
      </c>
      <c r="L41" s="84"/>
      <c r="M41" s="65"/>
      <c r="N41" s="145"/>
      <c r="O41" s="145"/>
      <c r="P41" s="145"/>
    </row>
    <row r="42" spans="2:16" ht="20.149999999999999" customHeight="1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6" ht="20.149999999999999" customHeight="1" x14ac:dyDescent="0.45">
      <c r="B43" s="10" t="s">
        <v>16</v>
      </c>
      <c r="C43" s="6"/>
      <c r="D43" s="6"/>
      <c r="E43" s="6"/>
      <c r="F43" s="6"/>
      <c r="G43" s="6"/>
      <c r="H43" s="6"/>
      <c r="I43" s="6"/>
      <c r="J43" s="489" t="s">
        <v>13</v>
      </c>
      <c r="K43" s="490"/>
      <c r="L43" s="38">
        <f>SUM(L18:L42)</f>
        <v>336.3</v>
      </c>
      <c r="M43" s="63">
        <f>SUM(P18:P34)</f>
        <v>107.11333333333334</v>
      </c>
      <c r="N43" s="133">
        <f>M43/L43</f>
        <v>0.3185053028050352</v>
      </c>
    </row>
    <row r="44" spans="2:16" ht="20.149999999999999" customHeight="1" x14ac:dyDescent="0.45">
      <c r="B44" s="10" t="s">
        <v>17</v>
      </c>
      <c r="C44" s="6"/>
      <c r="D44" s="6"/>
      <c r="E44" s="6"/>
      <c r="F44" s="6"/>
      <c r="G44" s="6"/>
      <c r="H44" s="6"/>
      <c r="I44" s="6"/>
      <c r="J44" s="39" t="s">
        <v>20</v>
      </c>
      <c r="K44" s="40"/>
      <c r="L44" s="41">
        <f>L43*K44</f>
        <v>0</v>
      </c>
    </row>
    <row r="45" spans="2:16" ht="20.149999999999999" customHeight="1" x14ac:dyDescent="0.45">
      <c r="B45" s="10" t="s">
        <v>18</v>
      </c>
      <c r="C45" s="6"/>
      <c r="D45" s="6"/>
      <c r="E45" s="6"/>
      <c r="F45" s="6"/>
      <c r="G45" s="6"/>
      <c r="H45" s="6"/>
      <c r="I45" s="6"/>
      <c r="J45" s="491" t="s">
        <v>19</v>
      </c>
      <c r="K45" s="492"/>
      <c r="L45" s="41">
        <f>L43-L44</f>
        <v>336.3</v>
      </c>
    </row>
    <row r="46" spans="2:16" ht="20.149999999999999" customHeight="1" x14ac:dyDescent="0.45">
      <c r="B46" s="10" t="s">
        <v>22</v>
      </c>
      <c r="C46" s="6"/>
      <c r="D46" s="6"/>
      <c r="E46" s="6"/>
      <c r="F46" s="6"/>
      <c r="G46" s="6"/>
      <c r="H46" s="6"/>
      <c r="I46" s="6"/>
      <c r="J46" s="102" t="s">
        <v>15</v>
      </c>
      <c r="K46" s="103">
        <f>'Sales Master'!$B$1</f>
        <v>0.09</v>
      </c>
      <c r="L46" s="42">
        <f>L45*K46</f>
        <v>30.266999999999999</v>
      </c>
    </row>
    <row r="47" spans="2:16" ht="20.149999999999999" customHeight="1" thickBot="1" x14ac:dyDescent="0.5">
      <c r="B47" s="10" t="s">
        <v>23</v>
      </c>
      <c r="C47" s="6"/>
      <c r="D47" s="6"/>
      <c r="E47" s="6"/>
      <c r="F47" s="6"/>
      <c r="G47" s="6"/>
      <c r="H47" s="6"/>
      <c r="I47" s="6"/>
      <c r="J47" s="485" t="s">
        <v>21</v>
      </c>
      <c r="K47" s="486"/>
      <c r="L47" s="43">
        <f>L45+L46</f>
        <v>366.56700000000001</v>
      </c>
    </row>
    <row r="48" spans="2:16" ht="20.149999999999999" customHeight="1" x14ac:dyDescent="0.45">
      <c r="B48" s="10" t="s">
        <v>24</v>
      </c>
      <c r="C48" s="6"/>
      <c r="D48" s="6"/>
      <c r="E48" s="6"/>
      <c r="F48" s="6"/>
      <c r="G48" s="6"/>
      <c r="H48" s="6"/>
      <c r="I48" s="6"/>
      <c r="L48" s="37"/>
    </row>
    <row r="49" spans="2:12" ht="20.149999999999999" customHeight="1" x14ac:dyDescent="0.45">
      <c r="B49" s="144" t="s">
        <v>666</v>
      </c>
      <c r="L49" s="37"/>
    </row>
    <row r="50" spans="2:12" ht="20.149999999999999" customHeight="1" x14ac:dyDescent="0.45">
      <c r="B50" s="36"/>
      <c r="L50" s="37"/>
    </row>
    <row r="51" spans="2:12" ht="20.149999999999999" customHeight="1" x14ac:dyDescent="0.45">
      <c r="B51" s="36"/>
      <c r="L51" s="37"/>
    </row>
    <row r="52" spans="2:12" ht="20.149999999999999" customHeight="1" x14ac:dyDescent="0.45">
      <c r="B52" s="36"/>
      <c r="L52" s="37"/>
    </row>
    <row r="53" spans="2:12" ht="20.149999999999999" customHeight="1" x14ac:dyDescent="0.45">
      <c r="B53" s="44"/>
      <c r="C53" s="45"/>
      <c r="D53" s="45"/>
      <c r="J53" s="45"/>
      <c r="K53" s="45"/>
      <c r="L53" s="46"/>
    </row>
    <row r="54" spans="2:12" ht="20.149999999999999" customHeight="1" x14ac:dyDescent="0.45">
      <c r="B54" s="36" t="s">
        <v>25</v>
      </c>
      <c r="J54" s="19" t="s">
        <v>26</v>
      </c>
      <c r="L54" s="37"/>
    </row>
    <row r="55" spans="2:12" ht="19" thickBot="1" x14ac:dyDescent="0.5">
      <c r="B55" s="47"/>
      <c r="C55" s="48"/>
      <c r="D55" s="48"/>
      <c r="E55" s="48"/>
      <c r="F55" s="48"/>
      <c r="G55" s="48"/>
      <c r="H55" s="48"/>
      <c r="I55" s="48"/>
      <c r="J55" s="48"/>
      <c r="K55" s="48"/>
      <c r="L55" s="49"/>
    </row>
  </sheetData>
  <mergeCells count="61">
    <mergeCell ref="I24:J24"/>
    <mergeCell ref="D25:F25"/>
    <mergeCell ref="D26:F26"/>
    <mergeCell ref="I27:J27"/>
    <mergeCell ref="D28:F28"/>
    <mergeCell ref="I28:J28"/>
    <mergeCell ref="D24:F24"/>
    <mergeCell ref="I25:J25"/>
    <mergeCell ref="I26:J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47:K47"/>
    <mergeCell ref="J43:K43"/>
    <mergeCell ref="J45:K45"/>
    <mergeCell ref="I34:J34"/>
    <mergeCell ref="D41:F41"/>
    <mergeCell ref="I41:J41"/>
    <mergeCell ref="D34:F34"/>
    <mergeCell ref="D35:F35"/>
    <mergeCell ref="D39:F39"/>
    <mergeCell ref="I35:J35"/>
    <mergeCell ref="I39:J39"/>
    <mergeCell ref="I38:J38"/>
    <mergeCell ref="D40:F40"/>
    <mergeCell ref="I40:J40"/>
    <mergeCell ref="I17:J17"/>
    <mergeCell ref="I23:J23"/>
    <mergeCell ref="D17:F17"/>
    <mergeCell ref="D18:F18"/>
    <mergeCell ref="D20:F20"/>
    <mergeCell ref="D21:F21"/>
    <mergeCell ref="D19:F19"/>
    <mergeCell ref="I18:J18"/>
    <mergeCell ref="I19:J19"/>
    <mergeCell ref="I20:J20"/>
    <mergeCell ref="I21:J21"/>
    <mergeCell ref="I22:J22"/>
    <mergeCell ref="D22:F22"/>
    <mergeCell ref="D23:F23"/>
    <mergeCell ref="D33:F33"/>
    <mergeCell ref="D27:F27"/>
    <mergeCell ref="I33:J33"/>
    <mergeCell ref="I30:J30"/>
    <mergeCell ref="D30:F30"/>
    <mergeCell ref="D31:F31"/>
    <mergeCell ref="I31:J31"/>
    <mergeCell ref="D32:F32"/>
    <mergeCell ref="I32:J32"/>
    <mergeCell ref="D29:F29"/>
    <mergeCell ref="I29:J29"/>
  </mergeCells>
  <conditionalFormatting sqref="C38">
    <cfRule type="duplicateValues" dxfId="135" priority="1"/>
  </conditionalFormatting>
  <pageMargins left="0.70866141732283505" right="0.23622047244094499" top="0.23622047244094499" bottom="0.23622047244094499" header="0.31496062992126" footer="0.31496062992126"/>
  <pageSetup paperSize="9" scale="73" orientation="portrait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52076-F6ED-4A92-927E-4AF5160FFD76}">
  <sheetPr codeName="Sheet62">
    <tabColor rgb="FFFFC000"/>
    <pageSetUpPr fitToPage="1"/>
  </sheetPr>
  <dimension ref="B1:Q39"/>
  <sheetViews>
    <sheetView topLeftCell="B6" workbookViewId="0">
      <selection activeCell="B1" sqref="B1:L3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8.816406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1101</v>
      </c>
      <c r="J10" s="24" t="s">
        <v>27</v>
      </c>
      <c r="K10" s="464">
        <v>202412319</v>
      </c>
      <c r="L10" s="465"/>
    </row>
    <row r="11" spans="2:14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 xml:space="preserve">FOOD REPUBLIC PTE LTD                            Causeway Point @DRINK STALL, Woodlands Square #04-01 Causeway Point Singapore 738099                                                        </v>
      </c>
      <c r="G11" s="470"/>
      <c r="H11" s="471"/>
      <c r="J11" s="26" t="s">
        <v>9</v>
      </c>
      <c r="K11" s="478">
        <v>45640</v>
      </c>
      <c r="L11" s="479"/>
    </row>
    <row r="12" spans="2:14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  <c r="N12" s="19" t="s">
        <v>892</v>
      </c>
    </row>
    <row r="13" spans="2:14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4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7" ht="20.149999999999999" customHeight="1" x14ac:dyDescent="0.45">
      <c r="B18" s="58"/>
      <c r="C18" s="212" t="s">
        <v>892</v>
      </c>
      <c r="D18" s="487" t="str">
        <f>VLOOKUP(C18,'Sales Master'!B$3:D$537,2,)</f>
        <v>Sour Plum 酸梅(无子)</v>
      </c>
      <c r="E18" s="487"/>
      <c r="F18" s="487"/>
      <c r="G18" s="76">
        <v>1</v>
      </c>
      <c r="H18" s="183" t="str">
        <f>VLOOKUP(C18,'Sales Master'!$B$3:$F$2420,5,0)</f>
        <v>1 kg</v>
      </c>
      <c r="I18" s="513" t="str">
        <f>VLOOKUP(C18,'Sales Master'!$B$3:$E$2420,4,0)</f>
        <v>-</v>
      </c>
      <c r="J18" s="513"/>
      <c r="K18" s="83">
        <f>VLOOKUP(C18,'Sales Master'!B$3:I$537,8,0)</f>
        <v>19</v>
      </c>
      <c r="L18" s="84">
        <f>K18*G18</f>
        <v>19</v>
      </c>
      <c r="N18" s="145">
        <f>VLOOKUP(C18,'Sales Master'!$B$3:$DA$2279,104,0)</f>
        <v>14.533333333333333</v>
      </c>
      <c r="O18" s="145">
        <f>K18-N18</f>
        <v>4.4666666666666668</v>
      </c>
      <c r="P18" s="145">
        <f>O18*G18</f>
        <v>4.4666666666666668</v>
      </c>
      <c r="Q18" s="170"/>
    </row>
    <row r="19" spans="2:17" ht="20.149999999999999" customHeight="1" x14ac:dyDescent="0.45">
      <c r="B19" s="58"/>
      <c r="C19" s="212"/>
      <c r="D19" s="487"/>
      <c r="E19" s="487"/>
      <c r="F19" s="487"/>
      <c r="G19" s="76"/>
      <c r="H19" s="183"/>
      <c r="I19" s="513"/>
      <c r="J19" s="513"/>
      <c r="K19" s="83"/>
      <c r="L19" s="84"/>
      <c r="N19" s="145"/>
      <c r="O19" s="145"/>
      <c r="P19" s="145"/>
    </row>
    <row r="20" spans="2:17" ht="20.149999999999999" customHeight="1" x14ac:dyDescent="0.45">
      <c r="B20" s="58"/>
      <c r="C20" s="17"/>
      <c r="D20" s="487"/>
      <c r="E20" s="487"/>
      <c r="F20" s="487"/>
      <c r="G20" s="158"/>
      <c r="H20" s="56"/>
      <c r="I20" s="494"/>
      <c r="J20" s="494"/>
      <c r="K20" s="83"/>
      <c r="L20" s="84"/>
      <c r="M20" s="65"/>
    </row>
    <row r="21" spans="2:17" ht="20.149999999999999" customHeight="1" x14ac:dyDescent="0.45">
      <c r="B21" s="58"/>
      <c r="G21" s="158"/>
      <c r="H21" s="56"/>
      <c r="I21" s="494"/>
      <c r="J21" s="494"/>
      <c r="K21" s="83"/>
      <c r="L21" s="84"/>
      <c r="M21" s="65"/>
    </row>
    <row r="22" spans="2:17" ht="20.149999999999999" customHeight="1" x14ac:dyDescent="0.45">
      <c r="B22" s="58"/>
      <c r="C22" s="17"/>
      <c r="D22" s="487"/>
      <c r="E22" s="487"/>
      <c r="F22" s="487"/>
      <c r="G22" s="158"/>
      <c r="H22" s="56"/>
      <c r="I22" s="494"/>
      <c r="J22" s="494"/>
      <c r="K22" s="83"/>
      <c r="L22" s="84"/>
      <c r="M22" s="65"/>
    </row>
    <row r="23" spans="2:17" ht="20.149999999999999" customHeight="1" x14ac:dyDescent="0.45">
      <c r="B23" s="58"/>
      <c r="C23" s="17"/>
      <c r="D23" s="487"/>
      <c r="E23" s="487"/>
      <c r="F23" s="487"/>
      <c r="G23" s="158"/>
      <c r="H23" s="56"/>
      <c r="I23" s="494"/>
      <c r="J23" s="494"/>
      <c r="K23" s="83"/>
      <c r="L23" s="84"/>
      <c r="M23" s="65"/>
    </row>
    <row r="24" spans="2:17" ht="20.149999999999999" customHeight="1" x14ac:dyDescent="0.45">
      <c r="B24" s="58"/>
      <c r="C24" s="17"/>
      <c r="D24" s="487"/>
      <c r="E24" s="487"/>
      <c r="F24" s="487"/>
      <c r="G24" s="158"/>
      <c r="H24" s="56"/>
      <c r="I24" s="494"/>
      <c r="J24" s="494"/>
      <c r="K24" s="83"/>
      <c r="L24" s="84"/>
      <c r="M24" s="65"/>
    </row>
    <row r="25" spans="2:17" ht="20.149999999999999" customHeight="1" x14ac:dyDescent="0.45">
      <c r="B25" s="58"/>
      <c r="C25" s="17"/>
      <c r="D25" s="487"/>
      <c r="E25" s="487"/>
      <c r="F25" s="487"/>
      <c r="G25" s="158"/>
      <c r="H25" s="56"/>
      <c r="I25" s="494"/>
      <c r="J25" s="494"/>
      <c r="K25" s="83"/>
      <c r="L25" s="84"/>
      <c r="M25" s="65"/>
    </row>
    <row r="26" spans="2:17" ht="20.149999999999999" customHeight="1" thickBot="1" x14ac:dyDescent="0.5">
      <c r="B26" s="47"/>
      <c r="C26" s="48"/>
      <c r="D26" s="48"/>
      <c r="E26" s="48"/>
      <c r="F26" s="48"/>
      <c r="G26" s="48"/>
      <c r="H26" s="48"/>
      <c r="I26" s="48"/>
      <c r="J26" s="48"/>
      <c r="K26" s="48"/>
      <c r="L26" s="49"/>
    </row>
    <row r="27" spans="2:17" ht="20.149999999999999" customHeight="1" x14ac:dyDescent="0.45">
      <c r="B27" s="10" t="s">
        <v>16</v>
      </c>
      <c r="C27" s="6"/>
      <c r="D27" s="6"/>
      <c r="E27" s="6"/>
      <c r="F27" s="6"/>
      <c r="G27" s="6"/>
      <c r="H27" s="6"/>
      <c r="I27" s="6"/>
      <c r="J27" s="489" t="s">
        <v>13</v>
      </c>
      <c r="K27" s="490"/>
      <c r="L27" s="38">
        <f>SUM(L17:L26)</f>
        <v>19</v>
      </c>
      <c r="M27" s="63">
        <f>SUM(P18)</f>
        <v>4.4666666666666668</v>
      </c>
    </row>
    <row r="28" spans="2:17" ht="20.149999999999999" customHeight="1" x14ac:dyDescent="0.45">
      <c r="B28" s="10" t="s">
        <v>17</v>
      </c>
      <c r="C28" s="6"/>
      <c r="D28" s="6"/>
      <c r="E28" s="6"/>
      <c r="F28" s="6"/>
      <c r="G28" s="6"/>
      <c r="H28" s="6"/>
      <c r="I28" s="6"/>
      <c r="J28" s="39" t="s">
        <v>20</v>
      </c>
      <c r="K28" s="40"/>
      <c r="L28" s="41">
        <f>L27*K28</f>
        <v>0</v>
      </c>
    </row>
    <row r="29" spans="2:17" ht="20.149999999999999" customHeight="1" x14ac:dyDescent="0.45">
      <c r="B29" s="10" t="s">
        <v>18</v>
      </c>
      <c r="C29" s="6"/>
      <c r="D29" s="6"/>
      <c r="E29" s="6"/>
      <c r="F29" s="6"/>
      <c r="G29" s="6"/>
      <c r="H29" s="6"/>
      <c r="I29" s="6"/>
      <c r="J29" s="491" t="s">
        <v>19</v>
      </c>
      <c r="K29" s="492"/>
      <c r="L29" s="41">
        <f>L27-L28</f>
        <v>19</v>
      </c>
    </row>
    <row r="30" spans="2:17" ht="20.149999999999999" customHeight="1" x14ac:dyDescent="0.45">
      <c r="B30" s="10" t="s">
        <v>22</v>
      </c>
      <c r="C30" s="6"/>
      <c r="D30" s="6"/>
      <c r="E30" s="6"/>
      <c r="F30" s="6"/>
      <c r="G30" s="6"/>
      <c r="H30" s="6"/>
      <c r="I30" s="6"/>
      <c r="J30" s="102" t="s">
        <v>15</v>
      </c>
      <c r="K30" s="103">
        <f>'Sales Master'!$B$1</f>
        <v>0.09</v>
      </c>
      <c r="L30" s="42">
        <f>L29*K30</f>
        <v>1.71</v>
      </c>
    </row>
    <row r="31" spans="2:17" ht="20.149999999999999" customHeight="1" thickBot="1" x14ac:dyDescent="0.5">
      <c r="B31" s="10" t="s">
        <v>23</v>
      </c>
      <c r="C31" s="6"/>
      <c r="D31" s="6"/>
      <c r="E31" s="6"/>
      <c r="F31" s="6"/>
      <c r="G31" s="6"/>
      <c r="H31" s="6"/>
      <c r="I31" s="6"/>
      <c r="J31" s="485" t="s">
        <v>21</v>
      </c>
      <c r="K31" s="486"/>
      <c r="L31" s="43">
        <f>L29+L30</f>
        <v>20.71</v>
      </c>
    </row>
    <row r="32" spans="2:17" ht="20.149999999999999" customHeight="1" x14ac:dyDescent="0.45">
      <c r="B32" s="10" t="s">
        <v>24</v>
      </c>
      <c r="C32" s="6"/>
      <c r="D32" s="6"/>
      <c r="E32" s="6"/>
      <c r="F32" s="6"/>
      <c r="G32" s="6"/>
      <c r="H32" s="6"/>
      <c r="I32" s="6"/>
      <c r="L32" s="37"/>
    </row>
    <row r="33" spans="2:12" ht="20.149999999999999" customHeight="1" x14ac:dyDescent="0.45">
      <c r="B33" s="144" t="s">
        <v>666</v>
      </c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44"/>
      <c r="C37" s="45"/>
      <c r="D37" s="45"/>
      <c r="J37" s="45"/>
      <c r="K37" s="45"/>
      <c r="L37" s="46"/>
    </row>
    <row r="38" spans="2:12" ht="20.149999999999999" customHeight="1" x14ac:dyDescent="0.45">
      <c r="B38" s="36" t="s">
        <v>25</v>
      </c>
      <c r="J38" s="19" t="s">
        <v>26</v>
      </c>
      <c r="L38" s="37"/>
    </row>
    <row r="39" spans="2:12" ht="19" thickBot="1" x14ac:dyDescent="0.5"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9"/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21:J21"/>
    <mergeCell ref="D22:F22"/>
    <mergeCell ref="I22:J22"/>
    <mergeCell ref="I17:J17"/>
    <mergeCell ref="D19:F19"/>
    <mergeCell ref="I19:J19"/>
    <mergeCell ref="D20:F20"/>
    <mergeCell ref="I20:J20"/>
    <mergeCell ref="D18:F18"/>
    <mergeCell ref="I18:J18"/>
    <mergeCell ref="D17:F17"/>
    <mergeCell ref="J31:K31"/>
    <mergeCell ref="J27:K27"/>
    <mergeCell ref="J29:K29"/>
    <mergeCell ref="D23:F23"/>
    <mergeCell ref="I23:J23"/>
    <mergeCell ref="D24:F24"/>
    <mergeCell ref="I24:J24"/>
    <mergeCell ref="D25:F25"/>
    <mergeCell ref="I25:J25"/>
  </mergeCells>
  <pageMargins left="0.70866141732283505" right="0.31496062992126" top="0.59055118110236204" bottom="0" header="0.31496062992126" footer="0.31496062992126"/>
  <pageSetup paperSize="9" scale="75" orientation="portrait" horizontalDpi="300" verticalDpi="300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AEE1E-55CA-4DDD-9160-ED95122F8CB0}">
  <sheetPr codeName="Sheet51">
    <tabColor rgb="FF7030A0"/>
    <pageSetUpPr fitToPage="1"/>
  </sheetPr>
  <dimension ref="B1:P39"/>
  <sheetViews>
    <sheetView workbookViewId="0">
      <selection activeCell="K11" sqref="K11:L1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1102</v>
      </c>
      <c r="J10" s="24" t="s">
        <v>27</v>
      </c>
      <c r="K10" s="464">
        <v>202112309</v>
      </c>
      <c r="L10" s="465"/>
    </row>
    <row r="11" spans="2:12" ht="20.149999999999999" customHeight="1" x14ac:dyDescent="0.45">
      <c r="B11" s="466" t="s">
        <v>1144</v>
      </c>
      <c r="C11" s="467"/>
      <c r="D11" s="468"/>
      <c r="E11" s="25"/>
      <c r="F11" s="469" t="str">
        <f>VLOOKUP(H10,'Delivery Location'!A$4:N$466,2,0)</f>
        <v xml:space="preserve">Koufu Pte Ltd- DRINK STALL                                      Millenia Walk, 9 Raffle Boulevard #01-46                                                    Singapore 039596                                                                        </v>
      </c>
      <c r="G11" s="470"/>
      <c r="H11" s="471"/>
      <c r="J11" s="26" t="s">
        <v>9</v>
      </c>
      <c r="K11" s="504">
        <v>44550</v>
      </c>
      <c r="L11" s="505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 t="s">
        <v>812</v>
      </c>
      <c r="D18" s="487" t="str">
        <f>VLOOKUP(C18,'Sales Master'!B$3:D$537,2,)</f>
        <v>Red Bean 红豆 (5.5 mm)</v>
      </c>
      <c r="E18" s="487"/>
      <c r="F18" s="487"/>
      <c r="G18" s="17">
        <v>2</v>
      </c>
      <c r="H18" s="56" t="str">
        <f>VLOOKUP(C18,'Sales Master'!$B$3:$F$2488,5,0)</f>
        <v>5 KG</v>
      </c>
      <c r="I18" s="494" t="str">
        <f>VLOOKUP(C18,'Sales Master'!$B$3:$E$2488,4,0)</f>
        <v>-</v>
      </c>
      <c r="J18" s="494"/>
      <c r="K18" s="30">
        <f>VLOOKUP(C18,'Sales Master'!$B$3:$J$537,9,0)</f>
        <v>17.5</v>
      </c>
      <c r="L18" s="31">
        <f>K18*G18</f>
        <v>35</v>
      </c>
      <c r="N18" s="145">
        <f>VLOOKUP(C18,'Sales Master'!$B$3:$DA$2279,104,0)</f>
        <v>12.5</v>
      </c>
      <c r="O18" s="145">
        <f>K18-N18</f>
        <v>5</v>
      </c>
      <c r="P18" s="145">
        <f>O18*G18</f>
        <v>10</v>
      </c>
    </row>
    <row r="19" spans="2:16" ht="20.149999999999999" customHeight="1" x14ac:dyDescent="0.45">
      <c r="B19" s="29"/>
      <c r="C19" s="17" t="s">
        <v>825</v>
      </c>
      <c r="D19" s="487" t="str">
        <f>VLOOKUP(C19,'Sales Master'!B$3:D$537,2,)</f>
        <v>Green Bean 绿豆</v>
      </c>
      <c r="E19" s="487"/>
      <c r="F19" s="487"/>
      <c r="G19" s="17">
        <v>2</v>
      </c>
      <c r="H19" s="56" t="str">
        <f>VLOOKUP(C19,'Sales Master'!$B$3:$F$2488,5,0)</f>
        <v>5 KG</v>
      </c>
      <c r="I19" s="494" t="str">
        <f>VLOOKUP(C19,'Sales Master'!$B$3:$E$2488,4,0)</f>
        <v>-</v>
      </c>
      <c r="J19" s="494"/>
      <c r="K19" s="30">
        <f>VLOOKUP(C19,'Sales Master'!$B$3:$J$537,9,0)</f>
        <v>13</v>
      </c>
      <c r="L19" s="31">
        <f>K19*G19</f>
        <v>26</v>
      </c>
      <c r="N19" s="145">
        <f>VLOOKUP(C19,'Sales Master'!$B$3:$DA$2279,104,0)</f>
        <v>8.75</v>
      </c>
      <c r="O19" s="145">
        <f>K19-N19</f>
        <v>4.25</v>
      </c>
      <c r="P19" s="145">
        <f>O19*G19</f>
        <v>8.5</v>
      </c>
    </row>
    <row r="20" spans="2:16" ht="20.149999999999999" customHeight="1" x14ac:dyDescent="0.45">
      <c r="B20" s="29"/>
      <c r="C20" s="17" t="s">
        <v>846</v>
      </c>
      <c r="D20" s="487" t="str">
        <f>VLOOKUP(C20,'Sales Master'!B$3:D$537,2,)</f>
        <v>Pearl Barley 薏米</v>
      </c>
      <c r="E20" s="487"/>
      <c r="F20" s="487"/>
      <c r="G20" s="17">
        <v>1</v>
      </c>
      <c r="H20" s="56" t="str">
        <f>VLOOKUP(C20,'Sales Master'!$B$3:$F$2488,5,0)</f>
        <v>5 KG</v>
      </c>
      <c r="I20" s="494" t="str">
        <f>VLOOKUP(C20,'Sales Master'!$B$3:$E$2488,4,0)</f>
        <v>-</v>
      </c>
      <c r="J20" s="494"/>
      <c r="K20" s="30">
        <f>VLOOKUP(C20,'Sales Master'!$B$3:$J$537,9,0)</f>
        <v>10</v>
      </c>
      <c r="L20" s="31">
        <f>K20*G20</f>
        <v>10</v>
      </c>
      <c r="N20" s="145">
        <f>VLOOKUP(C20,'Sales Master'!$B$3:$DA$2279,104,0)</f>
        <v>7.6</v>
      </c>
      <c r="O20" s="145">
        <f>K20-N20</f>
        <v>2.4000000000000004</v>
      </c>
      <c r="P20" s="145">
        <f>O20*G20</f>
        <v>2.4000000000000004</v>
      </c>
    </row>
    <row r="21" spans="2:16" ht="20.149999999999999" customHeight="1" x14ac:dyDescent="0.45">
      <c r="B21" s="29"/>
      <c r="C21" s="17" t="s">
        <v>1009</v>
      </c>
      <c r="D21" s="487" t="str">
        <f>VLOOKUP(C21,'Sales Master'!B$3:D$537,2,)</f>
        <v>Pandan Leaf 班兰叶</v>
      </c>
      <c r="E21" s="487"/>
      <c r="F21" s="487"/>
      <c r="G21" s="17">
        <v>1</v>
      </c>
      <c r="H21" s="56" t="str">
        <f>VLOOKUP(C21,'Sales Master'!$B$3:$F$2488,5,0)</f>
        <v>1 KG</v>
      </c>
      <c r="I21" s="494" t="str">
        <f>VLOOKUP(C21,'Sales Master'!$B$3:$E$2488,4,0)</f>
        <v>-</v>
      </c>
      <c r="J21" s="494"/>
      <c r="K21" s="30">
        <f>VLOOKUP(C21,'Sales Master'!$B$3:$J$537,9,0)</f>
        <v>1.8</v>
      </c>
      <c r="L21" s="31">
        <f>K21*G21</f>
        <v>1.8</v>
      </c>
      <c r="N21" s="145">
        <f>VLOOKUP(C21,'Sales Master'!$B$3:$DA$2279,104,0)</f>
        <v>1.1000000000000001</v>
      </c>
      <c r="O21" s="145">
        <f>K21-N21</f>
        <v>0.7</v>
      </c>
      <c r="P21" s="145">
        <f>O21*G21</f>
        <v>0.7</v>
      </c>
    </row>
    <row r="22" spans="2:16" ht="20.149999999999999" customHeight="1" x14ac:dyDescent="0.45">
      <c r="B22" s="29"/>
      <c r="C22" s="17"/>
      <c r="D22" s="487"/>
      <c r="E22" s="487"/>
      <c r="F22" s="487"/>
      <c r="G22" s="17"/>
      <c r="H22" s="56"/>
      <c r="I22" s="458"/>
      <c r="J22" s="458"/>
      <c r="K22" s="30"/>
      <c r="L22" s="31"/>
    </row>
    <row r="23" spans="2:16" ht="20.149999999999999" customHeight="1" x14ac:dyDescent="0.45">
      <c r="B23" s="29"/>
      <c r="C23" s="17"/>
      <c r="D23" s="487"/>
      <c r="E23" s="487"/>
      <c r="F23" s="487"/>
      <c r="G23" s="17"/>
      <c r="H23" s="56"/>
      <c r="I23" s="458"/>
      <c r="J23" s="458"/>
      <c r="K23" s="30"/>
      <c r="L23" s="31"/>
    </row>
    <row r="24" spans="2:16" ht="20.149999999999999" customHeight="1" x14ac:dyDescent="0.45">
      <c r="B24" s="29"/>
      <c r="C24" s="17"/>
      <c r="D24" s="487"/>
      <c r="E24" s="487"/>
      <c r="F24" s="487"/>
      <c r="G24" s="17"/>
      <c r="H24" s="17"/>
      <c r="I24" s="17"/>
      <c r="J24" s="17"/>
      <c r="K24" s="30"/>
      <c r="L24" s="31"/>
    </row>
    <row r="25" spans="2:16" ht="20.149999999999999" customHeight="1" thickBot="1" x14ac:dyDescent="0.5">
      <c r="B25" s="32"/>
      <c r="C25" s="33"/>
      <c r="D25" s="488"/>
      <c r="E25" s="488"/>
      <c r="F25" s="488"/>
      <c r="G25" s="33"/>
      <c r="H25" s="33"/>
      <c r="I25" s="33"/>
      <c r="J25" s="33"/>
      <c r="K25" s="34"/>
      <c r="L25" s="35"/>
    </row>
    <row r="26" spans="2:16" ht="20.149999999999999" customHeight="1" thickBot="1" x14ac:dyDescent="0.5">
      <c r="B26" s="36"/>
      <c r="L26" s="37"/>
    </row>
    <row r="27" spans="2:16" ht="20.149999999999999" customHeight="1" x14ac:dyDescent="0.45">
      <c r="B27" s="10" t="s">
        <v>16</v>
      </c>
      <c r="C27" s="6"/>
      <c r="D27" s="6"/>
      <c r="E27" s="6"/>
      <c r="F27" s="6"/>
      <c r="G27" s="6"/>
      <c r="H27" s="6"/>
      <c r="I27" s="6"/>
      <c r="J27" s="489" t="s">
        <v>13</v>
      </c>
      <c r="K27" s="490"/>
      <c r="L27" s="38">
        <f>SUM(L17:L25)</f>
        <v>72.8</v>
      </c>
      <c r="M27" s="63">
        <f>SUM(P18:P21)</f>
        <v>21.599999999999998</v>
      </c>
      <c r="N27" s="133">
        <f>M27/L27</f>
        <v>0.2967032967032967</v>
      </c>
    </row>
    <row r="28" spans="2:16" ht="20.149999999999999" customHeight="1" x14ac:dyDescent="0.45">
      <c r="B28" s="10" t="s">
        <v>17</v>
      </c>
      <c r="C28" s="6"/>
      <c r="D28" s="6"/>
      <c r="E28" s="6"/>
      <c r="F28" s="6"/>
      <c r="G28" s="6"/>
      <c r="H28" s="6"/>
      <c r="I28" s="6"/>
      <c r="J28" s="39" t="s">
        <v>20</v>
      </c>
      <c r="K28" s="40"/>
      <c r="L28" s="41">
        <f>L27*K28</f>
        <v>0</v>
      </c>
    </row>
    <row r="29" spans="2:16" ht="20.149999999999999" customHeight="1" x14ac:dyDescent="0.45">
      <c r="B29" s="10" t="s">
        <v>18</v>
      </c>
      <c r="C29" s="6"/>
      <c r="D29" s="6"/>
      <c r="E29" s="6"/>
      <c r="F29" s="6"/>
      <c r="G29" s="6"/>
      <c r="H29" s="6"/>
      <c r="I29" s="6"/>
      <c r="J29" s="491" t="s">
        <v>19</v>
      </c>
      <c r="K29" s="492"/>
      <c r="L29" s="41">
        <f>L27-L28</f>
        <v>72.8</v>
      </c>
    </row>
    <row r="30" spans="2:16" ht="20.149999999999999" customHeight="1" x14ac:dyDescent="0.45">
      <c r="B30" s="10" t="s">
        <v>22</v>
      </c>
      <c r="C30" s="6"/>
      <c r="D30" s="6"/>
      <c r="E30" s="6"/>
      <c r="F30" s="6"/>
      <c r="G30" s="6"/>
      <c r="H30" s="6"/>
      <c r="I30" s="6"/>
      <c r="J30" s="102" t="s">
        <v>15</v>
      </c>
      <c r="K30" s="103">
        <f>'Sales Master'!$B$1</f>
        <v>0.09</v>
      </c>
      <c r="L30" s="42">
        <f>L29*K30</f>
        <v>6.5519999999999996</v>
      </c>
    </row>
    <row r="31" spans="2:16" ht="20.149999999999999" customHeight="1" thickBot="1" x14ac:dyDescent="0.5">
      <c r="B31" s="10" t="s">
        <v>23</v>
      </c>
      <c r="C31" s="6"/>
      <c r="D31" s="6"/>
      <c r="E31" s="6"/>
      <c r="F31" s="6"/>
      <c r="G31" s="6"/>
      <c r="H31" s="6"/>
      <c r="I31" s="6"/>
      <c r="J31" s="485" t="s">
        <v>21</v>
      </c>
      <c r="K31" s="486"/>
      <c r="L31" s="43">
        <f>L29+L30</f>
        <v>79.352000000000004</v>
      </c>
    </row>
    <row r="32" spans="2:16" ht="20.149999999999999" customHeight="1" x14ac:dyDescent="0.45">
      <c r="B32" s="10" t="s">
        <v>24</v>
      </c>
      <c r="C32" s="6"/>
      <c r="D32" s="6"/>
      <c r="E32" s="6"/>
      <c r="F32" s="6"/>
      <c r="G32" s="6"/>
      <c r="H32" s="6"/>
      <c r="I32" s="6"/>
      <c r="L32" s="37"/>
    </row>
    <row r="33" spans="2:12" ht="20.149999999999999" customHeight="1" x14ac:dyDescent="0.45">
      <c r="B33" s="3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44"/>
      <c r="C37" s="45"/>
      <c r="D37" s="45"/>
      <c r="J37" s="45"/>
      <c r="K37" s="45"/>
      <c r="L37" s="46"/>
    </row>
    <row r="38" spans="2:12" ht="20.149999999999999" customHeight="1" x14ac:dyDescent="0.45">
      <c r="B38" s="36" t="s">
        <v>25</v>
      </c>
      <c r="J38" s="19" t="s">
        <v>26</v>
      </c>
      <c r="L38" s="37"/>
    </row>
    <row r="39" spans="2:12" ht="19" thickBot="1" x14ac:dyDescent="0.5"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9"/>
    </row>
  </sheetData>
  <mergeCells count="32">
    <mergeCell ref="B15:D15"/>
    <mergeCell ref="D23:F23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D25:F25"/>
    <mergeCell ref="J27:K27"/>
    <mergeCell ref="J29:K29"/>
    <mergeCell ref="J31:K31"/>
    <mergeCell ref="D24:F24"/>
  </mergeCells>
  <pageMargins left="0.70866141732283472" right="0.31496062992125984" top="0.59055118110236227" bottom="0" header="0.31496062992125984" footer="0.31496062992125984"/>
  <pageSetup paperSize="9" scale="79" orientation="portrait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B6C7D-FF5F-4BE3-8C41-FC9A6114E739}">
  <sheetPr>
    <tabColor rgb="FF7030A0"/>
    <pageSetUpPr fitToPage="1"/>
  </sheetPr>
  <dimension ref="B1:M43"/>
  <sheetViews>
    <sheetView topLeftCell="A23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1106</v>
      </c>
      <c r="J10" s="24" t="s">
        <v>27</v>
      </c>
      <c r="K10" s="464">
        <v>202504244</v>
      </c>
      <c r="L10" s="465"/>
    </row>
    <row r="11" spans="2:12" ht="20.149999999999999" customHeight="1" x14ac:dyDescent="0.45">
      <c r="B11" s="466" t="s">
        <v>2190</v>
      </c>
      <c r="C11" s="467"/>
      <c r="D11" s="468"/>
      <c r="E11" s="25"/>
      <c r="F11" s="469" t="str">
        <f>VLOOKUP(H10,'Delivery Location'!A$4:N$466,2,0)</f>
        <v>Paradise Oriental Pte Ltd                                                                             200 Victoria Street, Bugis Junction #02-50 Singapore 188021</v>
      </c>
      <c r="G11" s="470"/>
      <c r="H11" s="471"/>
      <c r="J11" s="26" t="s">
        <v>9</v>
      </c>
      <c r="K11" s="478">
        <v>45757</v>
      </c>
      <c r="L11" s="479"/>
    </row>
    <row r="12" spans="2:12" ht="20.149999999999999" customHeight="1" x14ac:dyDescent="0.45">
      <c r="B12" s="480"/>
      <c r="C12" s="453"/>
      <c r="D12" s="481"/>
      <c r="E12" s="25"/>
      <c r="F12" s="472"/>
      <c r="G12" s="473"/>
      <c r="H12" s="474"/>
      <c r="J12" s="26" t="s">
        <v>127</v>
      </c>
      <c r="K12" s="482" t="s">
        <v>2299</v>
      </c>
      <c r="L12" s="483"/>
    </row>
    <row r="13" spans="2:12" ht="20.149999999999999" customHeight="1" x14ac:dyDescent="0.45">
      <c r="B13" s="480"/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/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29">
        <v>1350861</v>
      </c>
      <c r="C18" s="212" t="str">
        <f>VLOOKUP(B18,'Sales Master'!A$3:B$537,2,0)</f>
        <v>M1014A</v>
      </c>
      <c r="D18" s="556" t="str">
        <f>VLOOKUP(C18,'Sales Master'!B$3:D$537,2,)</f>
        <v>Chendol CUSTOM MADE 浆咯</v>
      </c>
      <c r="E18" s="556"/>
      <c r="F18" s="556"/>
      <c r="G18" s="17">
        <v>8</v>
      </c>
      <c r="H18" s="56" t="str">
        <f>VLOOKUP(C18,'Sales Master'!$B$3:$F$2488,5,0)</f>
        <v>NW(1.5:0.5) 2kg/ Pkt包</v>
      </c>
      <c r="I18" s="494" t="str">
        <f>VLOOKUP(C18,'Sales Master'!$B$3:$E$2488,4,0)</f>
        <v>DO!</v>
      </c>
      <c r="J18" s="494"/>
      <c r="K18" s="30">
        <f>VLOOKUP(C18,'Sales Master'!$B$3:$BJ$537,61,0)</f>
        <v>12</v>
      </c>
      <c r="L18" s="31">
        <f>K18*G18</f>
        <v>96</v>
      </c>
    </row>
    <row r="19" spans="2:13" ht="20.149999999999999" customHeight="1" x14ac:dyDescent="0.45">
      <c r="B19" s="29">
        <v>1300008</v>
      </c>
      <c r="C19" s="212" t="str">
        <f>VLOOKUP(B19,'Sales Master'!A$3:B$537,2,0)</f>
        <v>P3002</v>
      </c>
      <c r="D19" s="487" t="str">
        <f>VLOOKUP(C19,'Sales Master'!B$3:D$537,2,)</f>
        <v>Chin Chow  仙草</v>
      </c>
      <c r="E19" s="487"/>
      <c r="F19" s="487"/>
      <c r="G19" s="17">
        <v>10</v>
      </c>
      <c r="H19" s="56" t="str">
        <f>VLOOKUP(C19,'Sales Master'!$B$3:$F$2488,5,0)</f>
        <v>4 KG/ Pkt包</v>
      </c>
      <c r="I19" s="494" t="str">
        <f>VLOOKUP(C19,'Sales Master'!$B$3:$E$2488,4,0)</f>
        <v>TSM</v>
      </c>
      <c r="J19" s="494"/>
      <c r="K19" s="30">
        <f>VLOOKUP(C19,'Sales Master'!$B$3:$BJ$537,61,0)</f>
        <v>6</v>
      </c>
      <c r="L19" s="31">
        <f t="shared" ref="L19" si="0">K19*G19</f>
        <v>60</v>
      </c>
    </row>
    <row r="20" spans="2:13" ht="20.149999999999999" customHeight="1" x14ac:dyDescent="0.45">
      <c r="B20" s="29">
        <v>1350378</v>
      </c>
      <c r="C20" s="212" t="str">
        <f>VLOOKUP(B20,'Sales Master'!A$3:B$537,2,0)</f>
        <v>P4016A</v>
      </c>
      <c r="D20" s="498" t="str">
        <f>VLOOKUP(C20,'Sales Master'!B$3:D$537,2,)</f>
        <v>Canned Red Bean 罐头红豆</v>
      </c>
      <c r="E20" s="498"/>
      <c r="F20" s="498"/>
      <c r="G20" s="17">
        <v>4</v>
      </c>
      <c r="H20" s="56" t="str">
        <f>VLOOKUP(C20,'Sales Master'!$B$3:$F$2488,5,0)</f>
        <v xml:space="preserve">3.3 KG/ Can </v>
      </c>
      <c r="I20" s="494" t="str">
        <f>VLOOKUP(C20,'Sales Master'!$B$3:$E$2488,4,0)</f>
        <v>Joy</v>
      </c>
      <c r="J20" s="494"/>
      <c r="K20" s="30">
        <f>VLOOKUP(C20,'Sales Master'!$B$3:$BJ$537,61,0)</f>
        <v>10.5</v>
      </c>
      <c r="L20" s="31">
        <f t="shared" ref="L20" si="1">K20*G20</f>
        <v>42</v>
      </c>
    </row>
    <row r="21" spans="2:13" ht="20.149999999999999" customHeight="1" x14ac:dyDescent="0.45">
      <c r="B21" s="29"/>
      <c r="C21" s="212"/>
      <c r="D21" s="414"/>
      <c r="E21" s="414"/>
      <c r="F21" s="414"/>
      <c r="G21" s="17"/>
      <c r="H21" s="56"/>
      <c r="I21" s="56"/>
      <c r="J21" s="56"/>
      <c r="K21" s="30"/>
      <c r="L21" s="31"/>
    </row>
    <row r="22" spans="2:13" ht="20.149999999999999" customHeight="1" x14ac:dyDescent="0.45">
      <c r="B22" s="29"/>
      <c r="C22" s="212"/>
      <c r="D22" s="414"/>
      <c r="E22" s="414"/>
      <c r="F22" s="414"/>
      <c r="G22" s="17"/>
      <c r="H22" s="56"/>
      <c r="I22" s="56"/>
      <c r="J22" s="56"/>
      <c r="K22" s="30"/>
      <c r="L22" s="31"/>
    </row>
    <row r="23" spans="2:13" ht="20.149999999999999" customHeight="1" x14ac:dyDescent="0.45">
      <c r="B23" s="29"/>
      <c r="C23" s="212"/>
      <c r="D23" s="414"/>
      <c r="E23" s="414"/>
      <c r="F23" s="414"/>
      <c r="G23" s="17"/>
      <c r="H23" s="56"/>
      <c r="I23" s="56"/>
      <c r="J23" s="56"/>
      <c r="K23" s="30"/>
      <c r="L23" s="31"/>
    </row>
    <row r="24" spans="2:13" ht="20.149999999999999" customHeight="1" x14ac:dyDescent="0.45">
      <c r="B24" s="29"/>
      <c r="C24" s="17"/>
      <c r="D24" s="487"/>
      <c r="E24" s="487"/>
      <c r="F24" s="487"/>
      <c r="G24" s="17"/>
      <c r="H24" s="56"/>
      <c r="I24" s="494"/>
      <c r="J24" s="494"/>
      <c r="K24" s="30"/>
      <c r="L24" s="31"/>
    </row>
    <row r="25" spans="2:13" ht="20.149999999999999" customHeight="1" x14ac:dyDescent="0.45">
      <c r="B25" s="29"/>
      <c r="C25" s="17"/>
      <c r="D25" s="487"/>
      <c r="E25" s="487"/>
      <c r="F25" s="487"/>
      <c r="G25" s="17"/>
      <c r="H25" s="56"/>
      <c r="I25" s="494"/>
      <c r="J25" s="494"/>
      <c r="K25" s="30"/>
      <c r="L25" s="31"/>
    </row>
    <row r="26" spans="2:13" ht="20.149999999999999" customHeight="1" x14ac:dyDescent="0.45">
      <c r="B26" s="29"/>
      <c r="C26" s="17"/>
      <c r="D26" s="487"/>
      <c r="E26" s="487"/>
      <c r="F26" s="487"/>
      <c r="G26" s="17"/>
      <c r="H26" s="56"/>
      <c r="I26" s="458"/>
      <c r="J26" s="458"/>
      <c r="K26" s="30"/>
      <c r="L26" s="31"/>
    </row>
    <row r="27" spans="2:13" ht="20.149999999999999" customHeight="1" x14ac:dyDescent="0.45">
      <c r="B27" s="29"/>
      <c r="C27" s="17"/>
      <c r="D27" s="487"/>
      <c r="E27" s="487"/>
      <c r="F27" s="487"/>
      <c r="G27" s="17"/>
      <c r="H27" s="56"/>
      <c r="I27" s="458"/>
      <c r="J27" s="458"/>
      <c r="K27" s="30"/>
      <c r="L27" s="31"/>
    </row>
    <row r="28" spans="2:13" ht="20.149999999999999" customHeight="1" x14ac:dyDescent="0.45">
      <c r="B28" s="29"/>
      <c r="C28" s="17"/>
      <c r="D28" s="487"/>
      <c r="E28" s="487"/>
      <c r="F28" s="487"/>
      <c r="G28" s="17"/>
      <c r="H28" s="17"/>
      <c r="I28" s="17"/>
      <c r="J28" s="17"/>
      <c r="K28" s="30"/>
      <c r="L28" s="31"/>
    </row>
    <row r="29" spans="2:13" ht="20.149999999999999" customHeight="1" thickBot="1" x14ac:dyDescent="0.5">
      <c r="B29" s="32"/>
      <c r="C29" s="33"/>
      <c r="D29" s="488"/>
      <c r="E29" s="488"/>
      <c r="F29" s="488"/>
      <c r="G29" s="33"/>
      <c r="H29" s="33"/>
      <c r="I29" s="33"/>
      <c r="J29" s="33"/>
      <c r="K29" s="34"/>
      <c r="L29" s="35"/>
    </row>
    <row r="30" spans="2:13" ht="20.149999999999999" customHeight="1" thickBot="1" x14ac:dyDescent="0.5">
      <c r="B30" s="36"/>
      <c r="L30" s="37"/>
    </row>
    <row r="31" spans="2:1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89" t="s">
        <v>13</v>
      </c>
      <c r="K31" s="490"/>
      <c r="L31" s="38">
        <f>SUM(L17:L29)</f>
        <v>198</v>
      </c>
      <c r="M31" s="63"/>
    </row>
    <row r="32" spans="2:1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91" t="s">
        <v>19</v>
      </c>
      <c r="K33" s="492"/>
      <c r="L33" s="41">
        <f>L31-L32</f>
        <v>198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17.82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85" t="s">
        <v>21</v>
      </c>
      <c r="K35" s="486"/>
      <c r="L35" s="43">
        <f>L33+L34</f>
        <v>215.82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4">
    <mergeCell ref="D25:F25"/>
    <mergeCell ref="I25:J25"/>
    <mergeCell ref="J31:K31"/>
    <mergeCell ref="J33:K33"/>
    <mergeCell ref="J35:K35"/>
    <mergeCell ref="D26:F26"/>
    <mergeCell ref="I26:J26"/>
    <mergeCell ref="D27:F27"/>
    <mergeCell ref="I27:J27"/>
    <mergeCell ref="D28:F28"/>
    <mergeCell ref="D29:F29"/>
    <mergeCell ref="I17:J17"/>
    <mergeCell ref="D20:F20"/>
    <mergeCell ref="I20:J20"/>
    <mergeCell ref="D24:F24"/>
    <mergeCell ref="I24:J24"/>
    <mergeCell ref="D18:F18"/>
    <mergeCell ref="I18:J18"/>
    <mergeCell ref="D17:F17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DFA04-A450-4C52-B8E3-A7ADC16B4010}">
  <sheetPr>
    <tabColor rgb="FFFFC000"/>
    <pageSetUpPr fitToPage="1"/>
  </sheetPr>
  <dimension ref="B1:P42"/>
  <sheetViews>
    <sheetView topLeftCell="A3" workbookViewId="0">
      <selection activeCell="K11" sqref="K11:L1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1119</v>
      </c>
      <c r="J10" s="24" t="s">
        <v>27</v>
      </c>
      <c r="K10" s="464">
        <v>202401423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 PTE LTD - Drink                                    BLK 671, Edgefield Plains  #01-01                  Singapore 820671              </v>
      </c>
      <c r="G11" s="470"/>
      <c r="H11" s="471"/>
      <c r="J11" s="26" t="s">
        <v>9</v>
      </c>
      <c r="K11" s="478">
        <v>45311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 t="s">
        <v>937</v>
      </c>
      <c r="D18" s="583" t="str">
        <f>VLOOKUP(C18,'Sales Master'!B$3:D$537,2,)</f>
        <v>Lychee in Syrup 荔枝</v>
      </c>
      <c r="E18" s="583"/>
      <c r="F18" s="583"/>
      <c r="G18" s="17">
        <v>1</v>
      </c>
      <c r="H18" s="56" t="str">
        <f>VLOOKUP(C18,'Sales Master'!$B$3:$F$2488,5,0)</f>
        <v>12 CAN/CARTON</v>
      </c>
      <c r="I18" s="494" t="str">
        <f>VLOOKUP(C18,'Sales Master'!$B$3:$E$2488,4,0)</f>
        <v>Statue</v>
      </c>
      <c r="J18" s="494"/>
      <c r="K18" s="30">
        <f>VLOOKUP(C18,'Sales Master'!$B$3:$J$537,9,0)</f>
        <v>22</v>
      </c>
      <c r="L18" s="31">
        <f>K18*G18</f>
        <v>22</v>
      </c>
      <c r="N18" s="145">
        <f>VLOOKUP(C18,'Sales Master'!$B$3:$DA$2279,104,0)</f>
        <v>16.5</v>
      </c>
      <c r="O18" s="145">
        <f>K18-N18</f>
        <v>5.5</v>
      </c>
      <c r="P18" s="145">
        <f>O18*G18</f>
        <v>5.5</v>
      </c>
    </row>
    <row r="19" spans="2:16" ht="20.149999999999999" customHeight="1" x14ac:dyDescent="0.45">
      <c r="B19" s="29"/>
      <c r="C19" s="17"/>
      <c r="D19" s="487"/>
      <c r="E19" s="487"/>
      <c r="F19" s="487"/>
      <c r="G19" s="17"/>
      <c r="H19" s="56"/>
      <c r="I19" s="494"/>
      <c r="J19" s="494"/>
      <c r="K19" s="30"/>
      <c r="L19" s="31"/>
    </row>
    <row r="20" spans="2:16" ht="20.149999999999999" customHeight="1" x14ac:dyDescent="0.45">
      <c r="B20" s="29"/>
      <c r="C20" s="17"/>
      <c r="D20" s="487"/>
      <c r="E20" s="487"/>
      <c r="F20" s="487"/>
      <c r="G20" s="17"/>
      <c r="H20" s="56"/>
      <c r="I20" s="494"/>
      <c r="J20" s="494"/>
      <c r="K20" s="30"/>
      <c r="L20" s="31"/>
    </row>
    <row r="21" spans="2:16" ht="20.149999999999999" customHeight="1" x14ac:dyDescent="0.45">
      <c r="B21" s="29"/>
      <c r="C21" s="17"/>
      <c r="D21" s="487"/>
      <c r="E21" s="487"/>
      <c r="F21" s="487"/>
      <c r="G21" s="17"/>
      <c r="H21" s="56"/>
      <c r="I21" s="494"/>
      <c r="J21" s="494"/>
      <c r="K21" s="30"/>
      <c r="L21" s="31"/>
    </row>
    <row r="22" spans="2:16" ht="20.149999999999999" customHeight="1" x14ac:dyDescent="0.45">
      <c r="B22" s="29"/>
      <c r="C22" s="17"/>
      <c r="D22" s="487"/>
      <c r="E22" s="487"/>
      <c r="F22" s="487"/>
      <c r="G22" s="17"/>
      <c r="H22" s="56"/>
      <c r="I22" s="458"/>
      <c r="J22" s="458"/>
      <c r="K22" s="30"/>
      <c r="L22" s="31"/>
    </row>
    <row r="23" spans="2:16" ht="20.149999999999999" customHeight="1" x14ac:dyDescent="0.45">
      <c r="B23" s="29"/>
      <c r="C23" s="17"/>
      <c r="D23" s="487"/>
      <c r="E23" s="487"/>
      <c r="F23" s="487"/>
      <c r="G23" s="17"/>
      <c r="H23" s="56"/>
      <c r="I23" s="458"/>
      <c r="J23" s="458"/>
      <c r="K23" s="30"/>
      <c r="L23" s="31"/>
    </row>
    <row r="24" spans="2:16" ht="20.149999999999999" customHeight="1" x14ac:dyDescent="0.45">
      <c r="B24" s="29"/>
      <c r="C24" s="17"/>
      <c r="G24" s="17"/>
      <c r="H24" s="56"/>
      <c r="I24" s="458"/>
      <c r="J24" s="458"/>
      <c r="K24" s="30"/>
      <c r="L24" s="31"/>
    </row>
    <row r="25" spans="2:16" ht="20.149999999999999" customHeight="1" x14ac:dyDescent="0.45">
      <c r="B25" s="29"/>
      <c r="C25" s="17"/>
      <c r="D25" s="487"/>
      <c r="E25" s="487"/>
      <c r="F25" s="487"/>
      <c r="G25" s="17"/>
      <c r="H25" s="56"/>
      <c r="I25" s="56"/>
      <c r="J25" s="17"/>
      <c r="K25" s="30"/>
      <c r="L25" s="31"/>
    </row>
    <row r="26" spans="2:16" ht="20.149999999999999" customHeight="1" x14ac:dyDescent="0.45">
      <c r="B26" s="29"/>
      <c r="C26" s="17"/>
      <c r="D26" s="487"/>
      <c r="E26" s="487"/>
      <c r="F26" s="487"/>
      <c r="G26" s="17"/>
      <c r="H26" s="56"/>
      <c r="I26" s="56"/>
      <c r="J26" s="17"/>
      <c r="K26" s="30"/>
      <c r="L26" s="31"/>
    </row>
    <row r="27" spans="2:16" ht="20.149999999999999" customHeight="1" x14ac:dyDescent="0.45">
      <c r="B27" s="29"/>
      <c r="C27" s="17"/>
      <c r="D27" s="487"/>
      <c r="E27" s="487"/>
      <c r="F27" s="487"/>
      <c r="G27" s="17"/>
      <c r="H27" s="17"/>
      <c r="I27" s="17"/>
      <c r="J27" s="17"/>
      <c r="K27" s="30"/>
      <c r="L27" s="31"/>
    </row>
    <row r="28" spans="2:16" ht="20.149999999999999" customHeight="1" thickBot="1" x14ac:dyDescent="0.5">
      <c r="B28" s="32"/>
      <c r="C28" s="33"/>
      <c r="D28" s="488"/>
      <c r="E28" s="488"/>
      <c r="F28" s="488"/>
      <c r="G28" s="33"/>
      <c r="H28" s="33"/>
      <c r="I28" s="33"/>
      <c r="J28" s="33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SUM(L17:L28)</f>
        <v>22</v>
      </c>
      <c r="M30" s="63">
        <f>SUM(P18:P27)-L30*0.02</f>
        <v>5.0599999999999996</v>
      </c>
      <c r="N30" s="133">
        <f>M30/L30</f>
        <v>0.22999999999999998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22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1.98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23.98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5">
    <mergeCell ref="D21:F21"/>
    <mergeCell ref="I21:J21"/>
    <mergeCell ref="J34:K34"/>
    <mergeCell ref="D22:F22"/>
    <mergeCell ref="I22:J22"/>
    <mergeCell ref="D23:F23"/>
    <mergeCell ref="I23:J23"/>
    <mergeCell ref="I24:J24"/>
    <mergeCell ref="D25:F25"/>
    <mergeCell ref="D26:F26"/>
    <mergeCell ref="D27:F27"/>
    <mergeCell ref="D28:F28"/>
    <mergeCell ref="J30:K30"/>
    <mergeCell ref="J32:K32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9" orientation="portrait" horizontalDpi="300" verticalDpi="300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BF17E-D7BE-4C3E-BDE5-E10088167DD2}">
  <sheetPr codeName="Sheet39">
    <tabColor rgb="FF7030A0"/>
    <pageSetUpPr fitToPage="1"/>
  </sheetPr>
  <dimension ref="B1:P38"/>
  <sheetViews>
    <sheetView topLeftCell="A9" workbookViewId="0">
      <selection activeCell="K29" sqref="K2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30.1796875" style="19" customWidth="1"/>
    <col min="7" max="7" width="8.54296875" style="19" customWidth="1"/>
    <col min="8" max="8" width="6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1121</v>
      </c>
      <c r="J10" s="24" t="s">
        <v>27</v>
      </c>
      <c r="K10" s="464">
        <v>202208453</v>
      </c>
      <c r="L10" s="465"/>
    </row>
    <row r="11" spans="2:12" ht="20.149999999999999" customHeight="1" x14ac:dyDescent="0.45">
      <c r="B11" s="466"/>
      <c r="C11" s="467"/>
      <c r="D11" s="468"/>
      <c r="E11" s="25"/>
      <c r="F11" s="469" t="str">
        <f>VLOOKUP(H10,'Delivery Location'!A$4:N$466,2,0)</f>
        <v xml:space="preserve">PS Seiko Pte Ltd                                                    2, Woodlands Sector, #05-23/25 Woodlands Spectrum 1                                     SINGAPORe 738068          </v>
      </c>
      <c r="G11" s="470"/>
      <c r="H11" s="471"/>
      <c r="J11" s="26" t="s">
        <v>9</v>
      </c>
      <c r="K11" s="478">
        <v>44799</v>
      </c>
      <c r="L11" s="479"/>
    </row>
    <row r="12" spans="2:12" ht="20.149999999999999" customHeight="1" x14ac:dyDescent="0.45">
      <c r="B12" s="480"/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/>
      <c r="C13" s="453"/>
      <c r="D13" s="481"/>
      <c r="E13" s="25"/>
      <c r="F13" s="472"/>
      <c r="G13" s="473"/>
      <c r="H13" s="474"/>
      <c r="J13" s="26" t="s">
        <v>10</v>
      </c>
      <c r="K13" s="482" t="s">
        <v>648</v>
      </c>
      <c r="L13" s="483"/>
    </row>
    <row r="14" spans="2:12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08"/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58"/>
      <c r="C18" s="17" t="s">
        <v>34</v>
      </c>
      <c r="D18" s="521" t="s">
        <v>1294</v>
      </c>
      <c r="E18" s="521"/>
      <c r="F18" s="521"/>
      <c r="G18" s="76">
        <v>56</v>
      </c>
      <c r="H18" s="56" t="s">
        <v>34</v>
      </c>
      <c r="I18" s="494" t="s">
        <v>54</v>
      </c>
      <c r="J18" s="494"/>
      <c r="K18" s="83">
        <v>6.5</v>
      </c>
      <c r="L18" s="84">
        <f>K18*G18</f>
        <v>364</v>
      </c>
      <c r="M18" s="65"/>
      <c r="N18" s="145">
        <f>4.8+0.7</f>
        <v>5.5</v>
      </c>
      <c r="O18" s="145">
        <f>K18-N18</f>
        <v>1</v>
      </c>
      <c r="P18" s="145">
        <f>O18*G18</f>
        <v>56</v>
      </c>
    </row>
    <row r="19" spans="2:16" ht="20.149999999999999" customHeight="1" x14ac:dyDescent="0.45">
      <c r="B19" s="58"/>
      <c r="C19" s="17"/>
      <c r="D19" s="521"/>
      <c r="E19" s="521"/>
      <c r="F19" s="521"/>
      <c r="G19" s="76"/>
      <c r="H19" s="56"/>
      <c r="I19" s="494"/>
      <c r="J19" s="494"/>
      <c r="K19" s="83"/>
      <c r="L19" s="84"/>
      <c r="M19" s="65"/>
    </row>
    <row r="20" spans="2:16" ht="20.149999999999999" customHeight="1" x14ac:dyDescent="0.45">
      <c r="B20" s="58"/>
      <c r="C20" s="17"/>
      <c r="D20" s="487"/>
      <c r="E20" s="487"/>
      <c r="F20" s="487"/>
      <c r="G20" s="76"/>
      <c r="H20" s="56"/>
      <c r="I20" s="494"/>
      <c r="J20" s="494"/>
      <c r="K20" s="83"/>
      <c r="L20" s="84"/>
      <c r="M20" s="65"/>
    </row>
    <row r="21" spans="2:16" ht="20.149999999999999" customHeight="1" x14ac:dyDescent="0.45">
      <c r="B21" s="58"/>
      <c r="C21" s="17"/>
      <c r="D21" s="487"/>
      <c r="E21" s="487"/>
      <c r="F21" s="487"/>
      <c r="G21" s="76"/>
      <c r="H21" s="56"/>
      <c r="I21" s="494"/>
      <c r="J21" s="494"/>
      <c r="K21" s="83"/>
      <c r="L21" s="84"/>
      <c r="M21" s="65"/>
    </row>
    <row r="22" spans="2:16" ht="20.149999999999999" customHeight="1" x14ac:dyDescent="0.45">
      <c r="B22" s="58"/>
      <c r="C22" s="17"/>
      <c r="D22" s="487"/>
      <c r="E22" s="487"/>
      <c r="F22" s="487"/>
      <c r="G22" s="76"/>
      <c r="H22" s="56"/>
      <c r="I22" s="494"/>
      <c r="J22" s="494"/>
      <c r="K22" s="83"/>
      <c r="L22" s="84"/>
      <c r="M22" s="65"/>
    </row>
    <row r="23" spans="2:16" ht="20.149999999999999" customHeight="1" x14ac:dyDescent="0.45">
      <c r="B23" s="58"/>
      <c r="C23" s="17"/>
      <c r="D23" s="487"/>
      <c r="E23" s="487"/>
      <c r="F23" s="487"/>
      <c r="G23" s="156"/>
      <c r="H23" s="56"/>
      <c r="I23" s="494"/>
      <c r="J23" s="494"/>
      <c r="K23" s="83"/>
      <c r="L23" s="84"/>
      <c r="M23" s="65"/>
    </row>
    <row r="24" spans="2:16" ht="20.149999999999999" customHeight="1" x14ac:dyDescent="0.45">
      <c r="B24" s="58"/>
      <c r="C24" s="17"/>
      <c r="D24" s="487"/>
      <c r="E24" s="487"/>
      <c r="F24" s="487"/>
      <c r="G24" s="156"/>
      <c r="H24" s="56"/>
      <c r="I24" s="494"/>
      <c r="J24" s="494"/>
      <c r="K24" s="83"/>
      <c r="L24" s="84"/>
      <c r="M24" s="65"/>
    </row>
    <row r="25" spans="2:16" ht="20.149999999999999" customHeight="1" thickBot="1" x14ac:dyDescent="0.5">
      <c r="B25" s="47"/>
      <c r="C25" s="48"/>
      <c r="D25" s="48"/>
      <c r="E25" s="48"/>
      <c r="F25" s="48"/>
      <c r="G25" s="48"/>
      <c r="H25" s="48"/>
      <c r="I25" s="48"/>
      <c r="J25" s="48"/>
      <c r="K25" s="48"/>
      <c r="L25" s="49"/>
    </row>
    <row r="26" spans="2:16" ht="20.149999999999999" customHeight="1" x14ac:dyDescent="0.45">
      <c r="B26" s="10" t="s">
        <v>16</v>
      </c>
      <c r="C26" s="6"/>
      <c r="D26" s="6"/>
      <c r="E26" s="6"/>
      <c r="F26" s="6"/>
      <c r="G26" s="6"/>
      <c r="H26" s="6"/>
      <c r="I26" s="6"/>
      <c r="J26" s="489" t="s">
        <v>13</v>
      </c>
      <c r="K26" s="490"/>
      <c r="L26" s="38">
        <f>SUM(L17:L25)</f>
        <v>364</v>
      </c>
      <c r="M26" s="63"/>
    </row>
    <row r="27" spans="2:16" ht="20.149999999999999" customHeight="1" x14ac:dyDescent="0.45">
      <c r="B27" s="10" t="s">
        <v>17</v>
      </c>
      <c r="C27" s="6"/>
      <c r="D27" s="6"/>
      <c r="E27" s="6"/>
      <c r="F27" s="6"/>
      <c r="G27" s="6"/>
      <c r="H27" s="6"/>
      <c r="I27" s="6"/>
      <c r="J27" s="39" t="s">
        <v>20</v>
      </c>
      <c r="K27" s="40"/>
      <c r="L27" s="41">
        <f>L26*K27</f>
        <v>0</v>
      </c>
    </row>
    <row r="28" spans="2:16" ht="20.149999999999999" customHeight="1" x14ac:dyDescent="0.45">
      <c r="B28" s="10" t="s">
        <v>18</v>
      </c>
      <c r="C28" s="6"/>
      <c r="D28" s="6"/>
      <c r="E28" s="6"/>
      <c r="F28" s="6"/>
      <c r="G28" s="6"/>
      <c r="H28" s="6"/>
      <c r="I28" s="6"/>
      <c r="J28" s="491" t="s">
        <v>19</v>
      </c>
      <c r="K28" s="492"/>
      <c r="L28" s="41">
        <f>L26-L27</f>
        <v>364</v>
      </c>
    </row>
    <row r="29" spans="2:16" ht="20.149999999999999" customHeight="1" x14ac:dyDescent="0.45">
      <c r="B29" s="10" t="s">
        <v>22</v>
      </c>
      <c r="C29" s="6"/>
      <c r="D29" s="6"/>
      <c r="E29" s="6"/>
      <c r="F29" s="6"/>
      <c r="G29" s="6"/>
      <c r="H29" s="6"/>
      <c r="I29" s="6"/>
      <c r="J29" s="102" t="s">
        <v>15</v>
      </c>
      <c r="K29" s="103">
        <f>'Sales Master'!$B$1</f>
        <v>0.09</v>
      </c>
      <c r="L29" s="42">
        <f>L28*K29</f>
        <v>32.76</v>
      </c>
    </row>
    <row r="30" spans="2:16" ht="20.149999999999999" customHeight="1" thickBot="1" x14ac:dyDescent="0.5">
      <c r="B30" s="10" t="s">
        <v>23</v>
      </c>
      <c r="C30" s="6"/>
      <c r="D30" s="6"/>
      <c r="E30" s="6"/>
      <c r="F30" s="6"/>
      <c r="G30" s="6"/>
      <c r="H30" s="6"/>
      <c r="I30" s="6"/>
      <c r="J30" s="485" t="s">
        <v>21</v>
      </c>
      <c r="K30" s="486"/>
      <c r="L30" s="43">
        <f>L28+L29</f>
        <v>396.76</v>
      </c>
    </row>
    <row r="31" spans="2:16" ht="20.149999999999999" customHeight="1" x14ac:dyDescent="0.45">
      <c r="B31" s="10" t="s">
        <v>24</v>
      </c>
      <c r="C31" s="6"/>
      <c r="D31" s="6"/>
      <c r="E31" s="6"/>
      <c r="F31" s="6"/>
      <c r="G31" s="6"/>
      <c r="H31" s="6"/>
      <c r="I31" s="6"/>
      <c r="L31" s="37"/>
    </row>
    <row r="32" spans="2:16" ht="20.149999999999999" customHeight="1" x14ac:dyDescent="0.45">
      <c r="B32" s="144" t="s">
        <v>666</v>
      </c>
      <c r="L32" s="37"/>
    </row>
    <row r="33" spans="2:12" ht="20.149999999999999" customHeight="1" x14ac:dyDescent="0.45">
      <c r="B33" s="3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44"/>
      <c r="C36" s="45"/>
      <c r="D36" s="45"/>
      <c r="J36" s="45"/>
      <c r="K36" s="45"/>
      <c r="L36" s="46"/>
    </row>
    <row r="37" spans="2:12" ht="20.149999999999999" customHeight="1" x14ac:dyDescent="0.45">
      <c r="B37" s="36" t="s">
        <v>25</v>
      </c>
      <c r="J37" s="19" t="s">
        <v>26</v>
      </c>
      <c r="L37" s="37"/>
    </row>
    <row r="38" spans="2:12" ht="19" thickBot="1" x14ac:dyDescent="0.5"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</row>
  </sheetData>
  <mergeCells count="32">
    <mergeCell ref="J28:K28"/>
    <mergeCell ref="J30:K30"/>
    <mergeCell ref="D23:F23"/>
    <mergeCell ref="I23:J23"/>
    <mergeCell ref="D24:F24"/>
    <mergeCell ref="I24:J24"/>
    <mergeCell ref="J26:K26"/>
    <mergeCell ref="D21:F21"/>
    <mergeCell ref="I21:J21"/>
    <mergeCell ref="D22:F22"/>
    <mergeCell ref="I22:J22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14F78-CE83-4CC4-A42D-F4EC421075BC}">
  <sheetPr codeName="Sheet34">
    <tabColor rgb="FFFFC000"/>
    <pageSetUpPr fitToPage="1"/>
  </sheetPr>
  <dimension ref="B1:V42"/>
  <sheetViews>
    <sheetView topLeftCell="A2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1123</v>
      </c>
      <c r="J10" s="24" t="s">
        <v>27</v>
      </c>
      <c r="K10" s="464">
        <v>202504281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 - DIM SUM                                          Block 168 Punggol Field #01-01      Punggol Plaza Singapore 820168               </v>
      </c>
      <c r="G11" s="470"/>
      <c r="H11" s="471"/>
      <c r="J11" s="26" t="s">
        <v>9</v>
      </c>
      <c r="K11" s="478">
        <v>45758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29"/>
      <c r="C18" s="212" t="s">
        <v>1004</v>
      </c>
      <c r="D18" s="487" t="str">
        <f>VLOOKUP(C18,'Sales Master'!B$3:D$537,2,)</f>
        <v>Sweet Potato 番薯</v>
      </c>
      <c r="E18" s="487"/>
      <c r="F18" s="487"/>
      <c r="G18" s="76">
        <v>10</v>
      </c>
      <c r="H18" s="186" t="str">
        <f>VLOOKUP(C18,'Sales Master'!$B$3:$F$2488,5,0)</f>
        <v>1 KG</v>
      </c>
      <c r="I18" s="484" t="str">
        <f>VLOOKUP(C18,'Sales Master'!$B$3:$E$2488,4,0)</f>
        <v>-</v>
      </c>
      <c r="J18" s="484"/>
      <c r="K18" s="30">
        <f>VLOOKUP(C18,'Sales Master'!$B$3:$AU$537,46,0)</f>
        <v>2.5</v>
      </c>
      <c r="L18" s="31">
        <f>K18*G18</f>
        <v>25</v>
      </c>
      <c r="N18" s="145">
        <f>VLOOKUP(C18,'Sales Master'!$B$3:$DA$2279,104,0)</f>
        <v>1.675</v>
      </c>
      <c r="O18" s="145">
        <f>K18-N18</f>
        <v>0.82499999999999996</v>
      </c>
      <c r="P18" s="145">
        <f>O18*G18</f>
        <v>8.25</v>
      </c>
      <c r="Q18" s="170"/>
      <c r="R18" s="93"/>
      <c r="S18" s="93"/>
      <c r="T18" s="93"/>
      <c r="U18" s="93"/>
      <c r="V18" s="93"/>
    </row>
    <row r="19" spans="2:22" ht="20.149999999999999" customHeight="1" x14ac:dyDescent="0.45">
      <c r="B19" s="29"/>
      <c r="C19" s="17"/>
      <c r="D19" s="487"/>
      <c r="E19" s="487"/>
      <c r="F19" s="487"/>
      <c r="G19" s="76"/>
      <c r="H19" s="56"/>
      <c r="I19" s="494"/>
      <c r="J19" s="494"/>
      <c r="K19" s="30"/>
      <c r="L19" s="31"/>
      <c r="N19" s="145"/>
      <c r="O19" s="145"/>
      <c r="P19" s="145"/>
      <c r="Q19" s="93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87"/>
      <c r="E20" s="487"/>
      <c r="F20" s="487"/>
      <c r="G20" s="76"/>
      <c r="H20" s="56"/>
      <c r="I20" s="494"/>
      <c r="J20" s="494"/>
      <c r="K20" s="30"/>
      <c r="L20" s="31"/>
    </row>
    <row r="21" spans="2:22" ht="20.149999999999999" customHeight="1" x14ac:dyDescent="0.45">
      <c r="B21" s="29"/>
      <c r="C21" s="17"/>
      <c r="D21" s="487"/>
      <c r="E21" s="487"/>
      <c r="F21" s="487"/>
      <c r="G21" s="76"/>
      <c r="H21" s="56"/>
      <c r="I21" s="494"/>
      <c r="J21" s="494"/>
      <c r="K21" s="30"/>
      <c r="L21" s="31"/>
    </row>
    <row r="22" spans="2:22" ht="20.149999999999999" customHeight="1" x14ac:dyDescent="0.45">
      <c r="B22" s="29"/>
      <c r="C22" s="17"/>
      <c r="D22" s="487"/>
      <c r="E22" s="487"/>
      <c r="F22" s="487"/>
      <c r="G22" s="76"/>
      <c r="H22" s="56"/>
      <c r="I22" s="494"/>
      <c r="J22" s="494"/>
      <c r="K22" s="30"/>
      <c r="L22" s="31"/>
    </row>
    <row r="23" spans="2:22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31"/>
    </row>
    <row r="24" spans="2:22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31"/>
    </row>
    <row r="25" spans="2:22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31"/>
    </row>
    <row r="26" spans="2:22" ht="20.149999999999999" customHeight="1" x14ac:dyDescent="0.45">
      <c r="B26" s="29"/>
      <c r="C26" s="17"/>
      <c r="D26" s="487"/>
      <c r="E26" s="487"/>
      <c r="F26" s="487"/>
      <c r="G26" s="76"/>
      <c r="H26" s="56"/>
      <c r="I26" s="494"/>
      <c r="J26" s="494"/>
      <c r="K26" s="30"/>
      <c r="L26" s="31"/>
    </row>
    <row r="27" spans="2:22" ht="20.149999999999999" customHeight="1" x14ac:dyDescent="0.45">
      <c r="B27" s="29"/>
      <c r="C27" s="17"/>
      <c r="G27" s="76"/>
      <c r="H27" s="56"/>
      <c r="I27" s="56"/>
      <c r="J27" s="56"/>
      <c r="K27" s="30"/>
      <c r="L27" s="31"/>
    </row>
    <row r="28" spans="2:22" ht="20.149999999999999" customHeight="1" x14ac:dyDescent="0.45">
      <c r="B28" s="104"/>
      <c r="C28" s="105"/>
      <c r="D28" s="514"/>
      <c r="E28" s="514"/>
      <c r="F28" s="514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SUM(L18:L29)</f>
        <v>25</v>
      </c>
      <c r="M30" s="63">
        <f>SUM(P18)-L30*0.02</f>
        <v>7.75</v>
      </c>
      <c r="N30" s="133">
        <f>M30/L30</f>
        <v>0.31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25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2.25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27.25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666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7">
    <mergeCell ref="D28:F28"/>
    <mergeCell ref="J30:K30"/>
    <mergeCell ref="J32:K32"/>
    <mergeCell ref="J34:K34"/>
    <mergeCell ref="D26:F26"/>
    <mergeCell ref="I26:J26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conditionalFormatting sqref="C18">
    <cfRule type="duplicateValues" dxfId="134" priority="3"/>
  </conditionalFormatting>
  <conditionalFormatting sqref="C19">
    <cfRule type="duplicateValues" dxfId="133" priority="6"/>
  </conditionalFormatting>
  <conditionalFormatting sqref="C20">
    <cfRule type="duplicateValues" dxfId="132" priority="4"/>
  </conditionalFormatting>
  <conditionalFormatting sqref="C21">
    <cfRule type="duplicateValues" dxfId="131" priority="5"/>
  </conditionalFormatting>
  <conditionalFormatting sqref="C22">
    <cfRule type="duplicateValues" dxfId="130" priority="2"/>
  </conditionalFormatting>
  <conditionalFormatting sqref="C23">
    <cfRule type="duplicateValues" dxfId="129" priority="1"/>
  </conditionalFormatting>
  <conditionalFormatting sqref="C25">
    <cfRule type="duplicateValues" dxfId="128" priority="7"/>
  </conditionalFormatting>
  <pageMargins left="0.51181102362204722" right="0.39370078740157483" top="0" bottom="0" header="0.31496062992125984" footer="0.31496062992125984"/>
  <pageSetup paperSize="9" scale="76" orientation="portrait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2EE0F-5B7C-4E70-90A9-1DB014DB546A}">
  <sheetPr codeName="Sheet42">
    <tabColor rgb="FFFFC000"/>
    <pageSetUpPr fitToPage="1"/>
  </sheetPr>
  <dimension ref="B1:V41"/>
  <sheetViews>
    <sheetView topLeftCell="B1" workbookViewId="0">
      <selection activeCell="J11" sqref="J1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1130</v>
      </c>
      <c r="J10" s="24" t="s">
        <v>27</v>
      </c>
      <c r="K10" s="464">
        <v>202501180</v>
      </c>
      <c r="L10" s="465"/>
    </row>
    <row r="11" spans="2:14" ht="20.149999999999999" customHeight="1" x14ac:dyDescent="0.45">
      <c r="B11" s="466" t="s">
        <v>1270</v>
      </c>
      <c r="C11" s="467"/>
      <c r="D11" s="468"/>
      <c r="E11" s="25"/>
      <c r="F11" s="469" t="str">
        <f>VLOOKUP(H10,'Delivery Location'!A$4:N$466,2,0)</f>
        <v xml:space="preserve">GOODWOOF PTE. LTD.                                                                                31 Woodlands Close #06-16        Singapore 737855          </v>
      </c>
      <c r="G11" s="470"/>
      <c r="H11" s="471"/>
      <c r="J11" s="26" t="s">
        <v>9</v>
      </c>
      <c r="K11" s="478">
        <v>45665</v>
      </c>
      <c r="L11" s="479"/>
    </row>
    <row r="12" spans="2:14" ht="20.149999999999999" customHeight="1" x14ac:dyDescent="0.45">
      <c r="B12" s="480" t="s">
        <v>1131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19" t="s">
        <v>1992</v>
      </c>
    </row>
    <row r="13" spans="2:14" ht="20.149999999999999" customHeight="1" x14ac:dyDescent="0.45">
      <c r="B13" s="480" t="s">
        <v>1132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1054</v>
      </c>
      <c r="L13" s="483"/>
    </row>
    <row r="14" spans="2:14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50"/>
      <c r="C15" s="51"/>
      <c r="D15" s="52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29"/>
      <c r="C18" s="212" t="s">
        <v>1004</v>
      </c>
      <c r="D18" s="487" t="str">
        <f>VLOOKUP(C18,'Sales Master'!B$3:D$537,2,)</f>
        <v>Sweet Potato 番薯</v>
      </c>
      <c r="E18" s="487"/>
      <c r="F18" s="487"/>
      <c r="G18" s="76">
        <v>90</v>
      </c>
      <c r="H18" s="186" t="str">
        <f>VLOOKUP(C18,'Sales Master'!$B$3:$F$2488,5,0)</f>
        <v>1 KG</v>
      </c>
      <c r="I18" s="484" t="str">
        <f>VLOOKUP(C18,'Sales Master'!$B$3:$E$2488,4,0)</f>
        <v>-</v>
      </c>
      <c r="J18" s="484"/>
      <c r="K18" s="30">
        <f>VLOOKUP(C18,'Sales Master'!$B$3:$CD$537,81,0)</f>
        <v>2.8</v>
      </c>
      <c r="L18" s="31">
        <f>K18*G18</f>
        <v>251.99999999999997</v>
      </c>
      <c r="N18" s="145">
        <f>VLOOKUP(C18,'Sales Master'!$B$3:$DA$2279,104,0)</f>
        <v>1.675</v>
      </c>
      <c r="O18" s="145">
        <f>K18-N18</f>
        <v>1.1249999999999998</v>
      </c>
      <c r="P18" s="145">
        <f>O18*G18</f>
        <v>101.24999999999999</v>
      </c>
      <c r="R18" s="93">
        <v>1</v>
      </c>
      <c r="S18" s="93" t="s">
        <v>200</v>
      </c>
      <c r="T18" s="93" t="s">
        <v>429</v>
      </c>
      <c r="U18" s="93"/>
      <c r="V18" s="93">
        <v>32</v>
      </c>
    </row>
    <row r="19" spans="2:22" ht="20.149999999999999" customHeight="1" x14ac:dyDescent="0.45">
      <c r="B19" s="29"/>
      <c r="C19" s="212"/>
      <c r="D19" s="487"/>
      <c r="E19" s="487"/>
      <c r="F19" s="487"/>
      <c r="G19" s="76"/>
      <c r="H19" s="186"/>
      <c r="I19" s="484"/>
      <c r="J19" s="484"/>
      <c r="K19" s="525"/>
      <c r="L19" s="526"/>
      <c r="N19" s="93"/>
      <c r="O19" s="93"/>
      <c r="P19" s="93"/>
      <c r="Q19" s="93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212"/>
      <c r="D20" s="487"/>
      <c r="E20" s="487"/>
      <c r="F20" s="487"/>
      <c r="G20" s="76"/>
      <c r="H20" s="186"/>
      <c r="I20" s="484"/>
      <c r="J20" s="484"/>
      <c r="K20" s="30"/>
      <c r="L20" s="31"/>
      <c r="N20" s="93"/>
      <c r="O20" s="93"/>
      <c r="P20" s="93"/>
      <c r="Q20" s="93"/>
      <c r="R20" s="93"/>
      <c r="S20" s="93"/>
      <c r="T20" s="93"/>
      <c r="U20" s="93"/>
      <c r="V20" s="93"/>
    </row>
    <row r="21" spans="2:22" ht="20.149999999999999" customHeight="1" x14ac:dyDescent="0.45">
      <c r="B21" s="29"/>
      <c r="C21" s="17"/>
      <c r="G21" s="76"/>
      <c r="H21" s="56"/>
      <c r="I21" s="56"/>
      <c r="J21" s="56"/>
      <c r="K21" s="30"/>
      <c r="L21" s="31"/>
      <c r="N21" s="93"/>
      <c r="O21" s="93"/>
      <c r="P21" s="93"/>
      <c r="Q21" s="93"/>
      <c r="R21" s="93"/>
      <c r="S21" s="93"/>
      <c r="T21" s="93"/>
      <c r="U21" s="93"/>
      <c r="V21" s="93"/>
    </row>
    <row r="22" spans="2:22" ht="20.149999999999999" customHeight="1" x14ac:dyDescent="0.45">
      <c r="B22" s="29"/>
      <c r="C22" s="17"/>
      <c r="G22" s="76"/>
      <c r="H22" s="56"/>
      <c r="I22" s="56"/>
      <c r="J22" s="56"/>
      <c r="K22" s="30"/>
      <c r="L22" s="31"/>
      <c r="N22" s="93"/>
      <c r="O22" s="93"/>
      <c r="P22" s="93"/>
      <c r="Q22" s="93"/>
      <c r="R22" s="93"/>
      <c r="S22" s="93"/>
      <c r="T22" s="93"/>
      <c r="U22" s="93"/>
      <c r="V22" s="93"/>
    </row>
    <row r="23" spans="2:22" ht="20.149999999999999" customHeight="1" x14ac:dyDescent="0.45">
      <c r="B23" s="29"/>
      <c r="C23" s="153"/>
      <c r="G23" s="76"/>
      <c r="H23" s="85"/>
      <c r="I23" s="484"/>
      <c r="J23" s="484"/>
      <c r="K23" s="150"/>
      <c r="L23" s="31"/>
    </row>
    <row r="24" spans="2:22" ht="20.149999999999999" customHeight="1" x14ac:dyDescent="0.45">
      <c r="B24" s="29"/>
      <c r="C24" s="212"/>
      <c r="D24" s="487"/>
      <c r="E24" s="487"/>
      <c r="F24" s="487"/>
      <c r="G24" s="76"/>
      <c r="H24" s="186"/>
      <c r="I24" s="484"/>
      <c r="J24" s="484"/>
      <c r="K24" s="150"/>
      <c r="L24" s="31"/>
    </row>
    <row r="25" spans="2:22" ht="20.149999999999999" customHeight="1" x14ac:dyDescent="0.45">
      <c r="B25" s="29"/>
      <c r="C25" s="18"/>
      <c r="D25" s="18"/>
      <c r="E25" s="18"/>
      <c r="F25" s="18"/>
      <c r="G25" s="18"/>
      <c r="H25" s="56"/>
      <c r="I25" s="56"/>
      <c r="J25" s="56"/>
      <c r="K25" s="83"/>
      <c r="L25" s="31"/>
    </row>
    <row r="26" spans="2:22" ht="20.149999999999999" customHeight="1" x14ac:dyDescent="0.45">
      <c r="B26" s="29"/>
      <c r="C26" s="17"/>
      <c r="G26" s="76"/>
      <c r="H26" s="56"/>
      <c r="I26" s="85"/>
      <c r="J26" s="85"/>
      <c r="K26" s="83"/>
      <c r="L26" s="31"/>
    </row>
    <row r="27" spans="2:22" ht="20.149999999999999" customHeight="1" x14ac:dyDescent="0.45">
      <c r="B27" s="104"/>
      <c r="C27" s="105"/>
      <c r="D27" s="514"/>
      <c r="E27" s="514"/>
      <c r="F27" s="514"/>
      <c r="G27" s="105"/>
      <c r="H27" s="105"/>
      <c r="I27" s="124"/>
      <c r="J27" s="124"/>
      <c r="K27" s="108"/>
      <c r="L27" s="125"/>
    </row>
    <row r="28" spans="2:22" ht="20.149999999999999" customHeight="1" thickBot="1" x14ac:dyDescent="0.5">
      <c r="B28" s="36"/>
      <c r="L28" s="37"/>
    </row>
    <row r="29" spans="2:22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89" t="s">
        <v>13</v>
      </c>
      <c r="K29" s="490"/>
      <c r="L29" s="38">
        <f>SUM(L18:L28)</f>
        <v>251.99999999999997</v>
      </c>
      <c r="M29" s="63">
        <f>SUM(P18:P27)</f>
        <v>101.24999999999999</v>
      </c>
      <c r="N29" s="133">
        <f>M29/L29</f>
        <v>0.4017857142857143</v>
      </c>
    </row>
    <row r="30" spans="2:22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22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91" t="s">
        <v>19</v>
      </c>
      <c r="K31" s="492"/>
      <c r="L31" s="41">
        <f>L29-L30</f>
        <v>251.99999999999997</v>
      </c>
    </row>
    <row r="32" spans="2:22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22.679999999999996</v>
      </c>
    </row>
    <row r="33" spans="2:12" ht="20.149999999999999" customHeight="1" thickBot="1" x14ac:dyDescent="0.5">
      <c r="B33" s="10" t="s">
        <v>676</v>
      </c>
      <c r="C33" s="6"/>
      <c r="D33" s="6"/>
      <c r="E33" s="6"/>
      <c r="F33" s="6"/>
      <c r="G33" s="6"/>
      <c r="H33" s="6"/>
      <c r="I33" s="6"/>
      <c r="J33" s="485" t="s">
        <v>21</v>
      </c>
      <c r="K33" s="486"/>
      <c r="L33" s="43">
        <f>L31+L32</f>
        <v>274.67999999999995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144" t="s">
        <v>666</v>
      </c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28">
    <mergeCell ref="J31:K31"/>
    <mergeCell ref="J33:K33"/>
    <mergeCell ref="D27:F27"/>
    <mergeCell ref="D24:F24"/>
    <mergeCell ref="I24:J24"/>
    <mergeCell ref="J29:K29"/>
    <mergeCell ref="I18:J18"/>
    <mergeCell ref="D19:F19"/>
    <mergeCell ref="I19:J19"/>
    <mergeCell ref="I23:J23"/>
    <mergeCell ref="I20:J20"/>
    <mergeCell ref="D20:F20"/>
    <mergeCell ref="K19:L19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8:F18"/>
  </mergeCells>
  <conditionalFormatting sqref="C18">
    <cfRule type="duplicateValues" dxfId="127" priority="7"/>
  </conditionalFormatting>
  <conditionalFormatting sqref="C19 C21:C22">
    <cfRule type="duplicateValues" dxfId="126" priority="10"/>
  </conditionalFormatting>
  <conditionalFormatting sqref="C20">
    <cfRule type="duplicateValues" dxfId="125" priority="2"/>
  </conditionalFormatting>
  <conditionalFormatting sqref="C23">
    <cfRule type="duplicateValues" dxfId="124" priority="1"/>
  </conditionalFormatting>
  <conditionalFormatting sqref="C25">
    <cfRule type="duplicateValues" dxfId="123" priority="6"/>
  </conditionalFormatting>
  <conditionalFormatting sqref="C26">
    <cfRule type="duplicateValues" dxfId="122" priority="5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01E35-8B4F-4237-81B5-75F7AE65C40C}">
  <sheetPr>
    <tabColor rgb="FFFFC000"/>
    <pageSetUpPr fitToPage="1"/>
  </sheetPr>
  <dimension ref="A1:R50"/>
  <sheetViews>
    <sheetView topLeftCell="A27" zoomScaleNormal="100" workbookViewId="0">
      <selection activeCell="G19" sqref="G19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2" width="12.6328125" style="19" customWidth="1"/>
    <col min="13" max="13" width="19.7265625" style="19" customWidth="1"/>
    <col min="14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104</v>
      </c>
      <c r="J10" s="24" t="s">
        <v>27</v>
      </c>
      <c r="K10" s="464">
        <v>202504268</v>
      </c>
      <c r="L10" s="465"/>
    </row>
    <row r="11" spans="2:12" ht="20.149999999999999" customHeight="1" x14ac:dyDescent="0.45">
      <c r="B11" s="466" t="s">
        <v>678</v>
      </c>
      <c r="C11" s="467"/>
      <c r="D11" s="468"/>
      <c r="E11" s="25"/>
      <c r="F11" s="469" t="str">
        <f>VLOOKUP(H10,'Delivery Location'!A$4:N$466,2,0)</f>
        <v>Combined Stalls                                                       1 Kim Seng Promenade #03-116.              Great World City Singapore 237994</v>
      </c>
      <c r="G11" s="470"/>
      <c r="H11" s="471"/>
      <c r="J11" s="26" t="s">
        <v>9</v>
      </c>
      <c r="K11" s="478">
        <v>45758</v>
      </c>
      <c r="L11" s="479"/>
    </row>
    <row r="12" spans="2:12" ht="20.149999999999999" customHeight="1" x14ac:dyDescent="0.45">
      <c r="B12" s="480" t="s">
        <v>524</v>
      </c>
      <c r="C12" s="453"/>
      <c r="D12" s="481"/>
      <c r="E12" s="25"/>
      <c r="F12" s="472"/>
      <c r="G12" s="473"/>
      <c r="H12" s="474"/>
      <c r="J12" s="26" t="s">
        <v>127</v>
      </c>
      <c r="K12" s="482">
        <v>4500363845</v>
      </c>
      <c r="L12" s="483"/>
    </row>
    <row r="13" spans="2:12" ht="20.149999999999999" customHeight="1" x14ac:dyDescent="0.45">
      <c r="B13" s="480" t="s">
        <v>525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609</v>
      </c>
      <c r="L13" s="483"/>
    </row>
    <row r="14" spans="2:12" ht="20.149999999999999" customHeight="1" x14ac:dyDescent="0.45">
      <c r="B14" s="480" t="s">
        <v>526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18" t="s">
        <v>527</v>
      </c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1:18" ht="20.149999999999999" customHeight="1" x14ac:dyDescent="0.45">
      <c r="A18" s="65"/>
      <c r="B18" s="58">
        <v>520740</v>
      </c>
      <c r="C18" s="212" t="str">
        <f>VLOOKUP(B18,'Sales Master'!A$3:B$537,2,0)</f>
        <v>M1037A</v>
      </c>
      <c r="D18" s="487" t="str">
        <f>VLOOKUP(C18,'Sales Master'!B$3:D$537,2,)</f>
        <v>Rock Sugar Syrup 冰糖浆</v>
      </c>
      <c r="E18" s="487"/>
      <c r="F18" s="487"/>
      <c r="G18" s="76">
        <v>6</v>
      </c>
      <c r="H18" s="247" t="str">
        <f>VLOOKUP(C18,'Sales Master'!$B$3:$F$2420,5,0)</f>
        <v>5 KG</v>
      </c>
      <c r="I18" s="513" t="str">
        <f>VLOOKUP(C18,'Sales Master'!$B$3:$E$2420,4,0)</f>
        <v>DO!</v>
      </c>
      <c r="J18" s="513"/>
      <c r="K18" s="83">
        <f>VLOOKUP(C18,'Sales Master'!B$3:I$537,8,0)</f>
        <v>11</v>
      </c>
      <c r="L18" s="84">
        <f t="shared" ref="L18" si="0">K18*G18</f>
        <v>66</v>
      </c>
      <c r="N18" s="145">
        <f>VLOOKUP(C18,'Sales Master'!$B$3:$DA$2279,104,0)</f>
        <v>5.86</v>
      </c>
      <c r="O18" s="145">
        <f t="shared" ref="O18" si="1">K18-N18</f>
        <v>5.14</v>
      </c>
      <c r="P18" s="145">
        <f t="shared" ref="P18" si="2">O18*G18</f>
        <v>30.839999999999996</v>
      </c>
      <c r="Q18" s="63"/>
      <c r="R18" s="63"/>
    </row>
    <row r="19" spans="1:18" ht="20.149999999999999" customHeight="1" x14ac:dyDescent="0.45">
      <c r="A19" s="65"/>
      <c r="B19" s="242"/>
      <c r="C19" s="212"/>
      <c r="D19" s="487"/>
      <c r="E19" s="487"/>
      <c r="F19" s="487"/>
      <c r="G19" s="76"/>
      <c r="H19" s="247"/>
      <c r="I19" s="513"/>
      <c r="J19" s="513"/>
      <c r="K19" s="83"/>
      <c r="L19" s="84"/>
      <c r="N19" s="145"/>
      <c r="O19" s="145"/>
      <c r="P19" s="145"/>
      <c r="Q19" s="63"/>
      <c r="R19" s="63"/>
    </row>
    <row r="20" spans="1:18" ht="20.149999999999999" customHeight="1" x14ac:dyDescent="0.45">
      <c r="A20" s="65"/>
      <c r="B20" s="242"/>
      <c r="C20" s="212"/>
      <c r="D20" s="487"/>
      <c r="E20" s="487"/>
      <c r="F20" s="487"/>
      <c r="G20" s="76"/>
      <c r="H20" s="247"/>
      <c r="I20" s="513"/>
      <c r="J20" s="513"/>
      <c r="K20" s="83"/>
      <c r="L20" s="84"/>
      <c r="N20" s="145"/>
      <c r="O20" s="145"/>
      <c r="P20" s="145"/>
      <c r="Q20" s="63"/>
      <c r="R20" s="63"/>
    </row>
    <row r="21" spans="1:18" ht="20.149999999999999" customHeight="1" x14ac:dyDescent="0.45">
      <c r="A21" s="65"/>
      <c r="B21" s="242"/>
      <c r="C21" s="212"/>
      <c r="D21" s="487"/>
      <c r="E21" s="487"/>
      <c r="F21" s="487"/>
      <c r="G21" s="76"/>
      <c r="H21" s="247"/>
      <c r="I21" s="513"/>
      <c r="J21" s="513"/>
      <c r="K21" s="83"/>
      <c r="L21" s="84"/>
      <c r="N21" s="145"/>
      <c r="O21" s="145"/>
      <c r="P21" s="145"/>
      <c r="Q21" s="63"/>
      <c r="R21" s="63"/>
    </row>
    <row r="22" spans="1:18" ht="20.149999999999999" customHeight="1" x14ac:dyDescent="0.45">
      <c r="A22" s="65"/>
      <c r="B22" s="242"/>
      <c r="C22" s="212"/>
      <c r="D22" s="487"/>
      <c r="E22" s="487"/>
      <c r="F22" s="487"/>
      <c r="G22" s="76"/>
      <c r="H22" s="247"/>
      <c r="I22" s="513"/>
      <c r="J22" s="513"/>
      <c r="K22" s="83"/>
      <c r="L22" s="84"/>
      <c r="N22" s="145"/>
      <c r="O22" s="145"/>
      <c r="P22" s="145"/>
      <c r="Q22" s="63"/>
      <c r="R22" s="63"/>
    </row>
    <row r="23" spans="1:18" ht="20.149999999999999" customHeight="1" x14ac:dyDescent="0.45">
      <c r="A23" s="65"/>
      <c r="B23" s="242"/>
      <c r="C23" s="212"/>
      <c r="D23" s="487"/>
      <c r="E23" s="487"/>
      <c r="F23" s="487"/>
      <c r="G23" s="76"/>
      <c r="H23" s="247"/>
      <c r="I23" s="513"/>
      <c r="J23" s="513"/>
      <c r="K23" s="83"/>
      <c r="L23" s="84"/>
      <c r="N23" s="145"/>
      <c r="O23" s="145"/>
      <c r="P23" s="145"/>
      <c r="Q23" s="63"/>
      <c r="R23" s="63"/>
    </row>
    <row r="24" spans="1:18" ht="20.149999999999999" customHeight="1" x14ac:dyDescent="0.45">
      <c r="A24" s="65"/>
      <c r="B24" s="242"/>
      <c r="C24" s="212"/>
      <c r="D24" s="487"/>
      <c r="E24" s="487"/>
      <c r="F24" s="487"/>
      <c r="G24" s="76"/>
      <c r="H24" s="247"/>
      <c r="I24" s="513"/>
      <c r="J24" s="513"/>
      <c r="K24" s="83"/>
      <c r="L24" s="84"/>
      <c r="N24" s="145"/>
      <c r="O24" s="145"/>
      <c r="P24" s="145"/>
      <c r="Q24" s="63"/>
      <c r="R24" s="63"/>
    </row>
    <row r="25" spans="1:18" ht="20.149999999999999" customHeight="1" x14ac:dyDescent="0.45">
      <c r="A25" s="65"/>
      <c r="B25" s="242"/>
      <c r="C25" s="212"/>
      <c r="D25" s="487"/>
      <c r="E25" s="487"/>
      <c r="F25" s="487"/>
      <c r="G25" s="76"/>
      <c r="H25" s="247"/>
      <c r="I25" s="513"/>
      <c r="J25" s="513"/>
      <c r="K25" s="83"/>
      <c r="L25" s="84"/>
      <c r="N25" s="145"/>
      <c r="O25" s="145"/>
      <c r="P25" s="145"/>
      <c r="Q25" s="63"/>
      <c r="R25" s="63"/>
    </row>
    <row r="26" spans="1:18" ht="20.149999999999999" customHeight="1" x14ac:dyDescent="0.45">
      <c r="A26" s="65"/>
      <c r="B26" s="242"/>
      <c r="C26" s="212"/>
      <c r="D26" s="487"/>
      <c r="E26" s="487"/>
      <c r="F26" s="487"/>
      <c r="G26" s="76"/>
      <c r="H26" s="247"/>
      <c r="I26" s="513"/>
      <c r="J26" s="513"/>
      <c r="K26" s="83"/>
      <c r="L26" s="84"/>
      <c r="N26" s="145"/>
      <c r="O26" s="145"/>
      <c r="P26" s="145"/>
      <c r="Q26" s="63"/>
      <c r="R26" s="63"/>
    </row>
    <row r="27" spans="1:18" ht="20.149999999999999" customHeight="1" x14ac:dyDescent="0.45">
      <c r="A27" s="65"/>
      <c r="B27" s="242"/>
      <c r="C27" s="212"/>
      <c r="D27" s="487"/>
      <c r="E27" s="487"/>
      <c r="F27" s="487"/>
      <c r="G27" s="76"/>
      <c r="H27" s="247"/>
      <c r="I27" s="513"/>
      <c r="J27" s="513"/>
      <c r="K27" s="83"/>
      <c r="L27" s="84"/>
      <c r="N27" s="145"/>
      <c r="O27" s="145"/>
      <c r="P27" s="145"/>
      <c r="Q27" s="63"/>
      <c r="R27" s="63"/>
    </row>
    <row r="28" spans="1:18" ht="20.149999999999999" customHeight="1" x14ac:dyDescent="0.45">
      <c r="A28" s="65"/>
      <c r="B28" s="242"/>
      <c r="C28" s="212"/>
      <c r="D28" s="487"/>
      <c r="E28" s="487"/>
      <c r="F28" s="487"/>
      <c r="G28" s="76"/>
      <c r="H28" s="247"/>
      <c r="I28" s="513"/>
      <c r="J28" s="513"/>
      <c r="K28" s="83"/>
      <c r="L28" s="84"/>
      <c r="N28" s="145"/>
      <c r="O28" s="145"/>
      <c r="P28" s="145"/>
      <c r="Q28" s="63"/>
      <c r="R28" s="63"/>
    </row>
    <row r="29" spans="1:18" ht="20.149999999999999" customHeight="1" x14ac:dyDescent="0.45">
      <c r="A29" s="65"/>
      <c r="B29" s="242"/>
      <c r="C29" s="212"/>
      <c r="D29" s="487"/>
      <c r="E29" s="487"/>
      <c r="F29" s="487"/>
      <c r="G29" s="76"/>
      <c r="H29" s="247"/>
      <c r="I29" s="513"/>
      <c r="J29" s="513"/>
      <c r="K29" s="83"/>
      <c r="L29" s="84"/>
      <c r="N29" s="145"/>
      <c r="O29" s="145"/>
      <c r="P29" s="145"/>
      <c r="Q29" s="63"/>
      <c r="R29" s="63"/>
    </row>
    <row r="30" spans="1:18" ht="20.149999999999999" customHeight="1" x14ac:dyDescent="0.45">
      <c r="A30" s="65"/>
      <c r="B30" s="242"/>
      <c r="C30" s="212"/>
      <c r="D30" s="487"/>
      <c r="E30" s="487"/>
      <c r="F30" s="487"/>
      <c r="G30" s="76"/>
      <c r="H30" s="247"/>
      <c r="I30" s="513"/>
      <c r="J30" s="513"/>
      <c r="K30" s="83"/>
      <c r="L30" s="84"/>
      <c r="N30" s="145"/>
      <c r="O30" s="145"/>
      <c r="P30" s="145"/>
      <c r="Q30" s="63"/>
      <c r="R30" s="63"/>
    </row>
    <row r="31" spans="1:18" ht="20.149999999999999" customHeight="1" x14ac:dyDescent="0.45">
      <c r="A31" s="65"/>
      <c r="B31" s="242"/>
      <c r="C31" s="212"/>
      <c r="D31" s="487"/>
      <c r="E31" s="487"/>
      <c r="F31" s="487"/>
      <c r="G31" s="76"/>
      <c r="H31" s="247"/>
      <c r="I31" s="513"/>
      <c r="J31" s="513"/>
      <c r="K31" s="83"/>
      <c r="L31" s="84"/>
      <c r="N31" s="145"/>
      <c r="O31" s="145"/>
      <c r="P31" s="145"/>
      <c r="Q31" s="63"/>
      <c r="R31" s="63"/>
    </row>
    <row r="32" spans="1:18" ht="20.149999999999999" customHeight="1" x14ac:dyDescent="0.45">
      <c r="A32" s="65"/>
      <c r="B32" s="242"/>
      <c r="C32" s="212"/>
      <c r="D32" s="487"/>
      <c r="E32" s="487"/>
      <c r="F32" s="487"/>
      <c r="G32" s="76"/>
      <c r="H32" s="247"/>
      <c r="I32" s="513"/>
      <c r="J32" s="513"/>
      <c r="K32" s="83"/>
      <c r="L32" s="84"/>
      <c r="N32" s="145"/>
      <c r="O32" s="145"/>
      <c r="P32" s="145"/>
      <c r="Q32" s="63"/>
      <c r="R32" s="63"/>
    </row>
    <row r="33" spans="1:18" ht="20.149999999999999" customHeight="1" x14ac:dyDescent="0.45">
      <c r="A33" s="65"/>
      <c r="B33" s="242"/>
      <c r="C33" s="212"/>
      <c r="D33" s="487"/>
      <c r="E33" s="487"/>
      <c r="F33" s="487"/>
      <c r="G33" s="76"/>
      <c r="H33" s="247"/>
      <c r="I33" s="209"/>
      <c r="J33" s="209"/>
      <c r="K33" s="83"/>
      <c r="L33" s="84"/>
      <c r="N33" s="145"/>
      <c r="O33" s="145"/>
      <c r="P33" s="145"/>
      <c r="Q33" s="63"/>
      <c r="R33" s="63"/>
    </row>
    <row r="34" spans="1:18" ht="20.149999999999999" customHeight="1" x14ac:dyDescent="0.45">
      <c r="A34" s="65"/>
      <c r="B34" s="139"/>
      <c r="C34" s="129"/>
      <c r="D34" s="140"/>
      <c r="E34" s="140"/>
      <c r="F34" s="140"/>
      <c r="G34" s="129"/>
      <c r="H34" s="138"/>
      <c r="I34" s="517"/>
      <c r="J34" s="517"/>
      <c r="K34" s="95"/>
      <c r="L34" s="98"/>
      <c r="M34" s="63"/>
      <c r="N34" s="63"/>
      <c r="Q34" s="63"/>
    </row>
    <row r="35" spans="1:18" ht="20.149999999999999" customHeight="1" thickBot="1" x14ac:dyDescent="0.5">
      <c r="A35" s="65"/>
      <c r="B35" s="141"/>
      <c r="C35" s="76"/>
      <c r="D35" s="65"/>
      <c r="E35" s="65"/>
      <c r="F35" s="65"/>
      <c r="G35" s="76"/>
      <c r="H35" s="82"/>
      <c r="I35" s="76"/>
      <c r="J35" s="76"/>
      <c r="K35" s="83"/>
      <c r="L35" s="84"/>
    </row>
    <row r="36" spans="1:18" ht="20.149999999999999" customHeight="1" x14ac:dyDescent="0.45">
      <c r="A36" s="65"/>
      <c r="B36" s="142" t="s">
        <v>16</v>
      </c>
      <c r="C36" s="135"/>
      <c r="D36" s="135"/>
      <c r="E36" s="135"/>
      <c r="F36" s="135"/>
      <c r="G36" s="135"/>
      <c r="H36" s="135"/>
      <c r="I36" s="135"/>
      <c r="J36" s="515" t="s">
        <v>13</v>
      </c>
      <c r="K36" s="516"/>
      <c r="L36" s="143">
        <f>SUM(L18:L35)</f>
        <v>66</v>
      </c>
      <c r="M36" s="63">
        <f>SUM(P18:P35)</f>
        <v>30.839999999999996</v>
      </c>
      <c r="N36" s="133">
        <f>M36/L36</f>
        <v>0.46727272727272723</v>
      </c>
      <c r="Q36" s="133"/>
    </row>
    <row r="37" spans="1:18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v>0</v>
      </c>
      <c r="M37" s="63"/>
    </row>
    <row r="38" spans="1:18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91" t="s">
        <v>19</v>
      </c>
      <c r="K38" s="492"/>
      <c r="L38" s="41">
        <f>L36-L37</f>
        <v>66</v>
      </c>
    </row>
    <row r="39" spans="1:18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5.9399999999999995</v>
      </c>
    </row>
    <row r="40" spans="1:18" ht="20.149999999999999" customHeight="1" thickBot="1" x14ac:dyDescent="0.5">
      <c r="B40" s="10" t="s">
        <v>676</v>
      </c>
      <c r="C40" s="6"/>
      <c r="D40" s="6"/>
      <c r="E40" s="6"/>
      <c r="F40" s="6"/>
      <c r="G40" s="6"/>
      <c r="H40" s="6"/>
      <c r="I40" s="6"/>
      <c r="J40" s="485" t="s">
        <v>21</v>
      </c>
      <c r="K40" s="486"/>
      <c r="L40" s="43">
        <f>L38+L39</f>
        <v>71.94</v>
      </c>
    </row>
    <row r="41" spans="1:18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1:18" ht="18" customHeight="1" x14ac:dyDescent="0.45">
      <c r="B42" s="144" t="s">
        <v>666</v>
      </c>
      <c r="L42" s="37"/>
    </row>
    <row r="43" spans="1:18" ht="18" customHeight="1" x14ac:dyDescent="0.45">
      <c r="B43" s="36"/>
      <c r="L43" s="37"/>
      <c r="N43" s="176">
        <v>44641</v>
      </c>
      <c r="O43" s="19">
        <v>287.5</v>
      </c>
      <c r="P43" s="19">
        <v>54.36</v>
      </c>
      <c r="Q43" s="133">
        <f>P43/O43</f>
        <v>0.18907826086956522</v>
      </c>
    </row>
    <row r="44" spans="1:18" ht="18" customHeight="1" x14ac:dyDescent="0.45">
      <c r="B44" s="36"/>
      <c r="L44" s="37"/>
      <c r="N44" s="176"/>
      <c r="Q44" s="133"/>
    </row>
    <row r="45" spans="1:18" ht="18" customHeight="1" x14ac:dyDescent="0.45">
      <c r="B45" s="36"/>
      <c r="L45" s="37"/>
      <c r="N45" s="176"/>
      <c r="Q45" s="133"/>
    </row>
    <row r="46" spans="1:18" ht="18" customHeight="1" x14ac:dyDescent="0.45">
      <c r="B46" s="36"/>
      <c r="L46" s="37"/>
      <c r="N46" s="176"/>
      <c r="Q46" s="133"/>
    </row>
    <row r="47" spans="1:18" ht="18" customHeight="1" x14ac:dyDescent="0.45">
      <c r="B47" s="44"/>
      <c r="C47" s="45"/>
      <c r="D47" s="45"/>
      <c r="J47" s="45"/>
      <c r="K47" s="45"/>
      <c r="L47" s="46"/>
    </row>
    <row r="48" spans="1:18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  <row r="50" spans="2:12" ht="20.5" x14ac:dyDescent="0.45">
      <c r="F50" s="201"/>
    </row>
  </sheetData>
  <mergeCells count="50">
    <mergeCell ref="D33:F33"/>
    <mergeCell ref="I34:J34"/>
    <mergeCell ref="J36:K36"/>
    <mergeCell ref="J38:K38"/>
    <mergeCell ref="J40:K40"/>
    <mergeCell ref="D30:F30"/>
    <mergeCell ref="I30:J30"/>
    <mergeCell ref="D31:F31"/>
    <mergeCell ref="I31:J31"/>
    <mergeCell ref="D32:F32"/>
    <mergeCell ref="I32:J32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D19:F19"/>
    <mergeCell ref="I19:J19"/>
    <mergeCell ref="D20:F20"/>
    <mergeCell ref="I20:J20"/>
    <mergeCell ref="K14:L14"/>
    <mergeCell ref="B15:D15"/>
    <mergeCell ref="K15:L15"/>
    <mergeCell ref="D17:F17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</mergeCells>
  <hyperlinks>
    <hyperlink ref="B15" r:id="rId1" xr:uid="{69A5C36A-3F79-466E-AD1A-DE06A6535713}"/>
  </hyperlinks>
  <pageMargins left="0.74803149606299213" right="0" top="0" bottom="0" header="0" footer="0"/>
  <pageSetup paperSize="9" scale="71" orientation="portrait" horizontalDpi="300" verticalDpi="300" r:id="rId2"/>
  <drawing r:id="rId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0FBF4-8B2F-4D69-8392-0878AA33DDD1}">
  <sheetPr codeName="Sheet30">
    <tabColor rgb="FFFFC000"/>
    <pageSetUpPr fitToPage="1"/>
  </sheetPr>
  <dimension ref="B1:V41"/>
  <sheetViews>
    <sheetView workbookViewId="0">
      <selection activeCell="B1" sqref="B1:L4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1161</v>
      </c>
      <c r="J10" s="24" t="s">
        <v>27</v>
      </c>
      <c r="K10" s="464">
        <v>202504253</v>
      </c>
      <c r="L10" s="465"/>
    </row>
    <row r="11" spans="2:14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>FOOD REPUBLIC PTE LTD                                  Serangoon Nex@JUICE BAR                    23, Serangoon Central #B2-63                      Singapore 550683</v>
      </c>
      <c r="G11" s="470"/>
      <c r="H11" s="471"/>
      <c r="J11" s="26" t="s">
        <v>9</v>
      </c>
      <c r="K11" s="478">
        <v>45757</v>
      </c>
      <c r="L11" s="479"/>
    </row>
    <row r="12" spans="2:14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>
        <v>4500364008</v>
      </c>
      <c r="L12" s="483"/>
      <c r="N12" s="19" t="s">
        <v>968</v>
      </c>
    </row>
    <row r="13" spans="2:14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1272</v>
      </c>
    </row>
    <row r="14" spans="2:14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  <c r="N14" s="19" t="s">
        <v>1158</v>
      </c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>
        <v>520740</v>
      </c>
      <c r="C18" s="212" t="str">
        <f>VLOOKUP(B18,'Sales Master'!A$3:B$537,2,0)</f>
        <v>M1037A</v>
      </c>
      <c r="D18" s="487" t="str">
        <f>VLOOKUP(C18,'Sales Master'!B$3:D$537,2,)</f>
        <v>Rock Sugar Syrup 冰糖浆</v>
      </c>
      <c r="E18" s="487"/>
      <c r="F18" s="487"/>
      <c r="G18" s="76">
        <v>5</v>
      </c>
      <c r="H18" s="183" t="str">
        <f>VLOOKUP(C18,'Sales Master'!$B$3:$F$2420,5,0)</f>
        <v>5 KG</v>
      </c>
      <c r="I18" s="513" t="str">
        <f>VLOOKUP(C18,'Sales Master'!$B$3:$E$2420,4,0)</f>
        <v>DO!</v>
      </c>
      <c r="J18" s="513"/>
      <c r="K18" s="83">
        <f>VLOOKUP(C18,'Sales Master'!B$3:I$537,8,0)</f>
        <v>11</v>
      </c>
      <c r="L18" s="84">
        <f>K18*G18</f>
        <v>55</v>
      </c>
      <c r="N18" s="145">
        <f>VLOOKUP(C18,'Sales Master'!$B$3:$DA$2279,104,0)</f>
        <v>5.86</v>
      </c>
      <c r="O18" s="145">
        <f>K18-N18</f>
        <v>5.14</v>
      </c>
      <c r="P18" s="145">
        <f>O18*G18</f>
        <v>25.7</v>
      </c>
      <c r="R18" s="170">
        <f>N18*G18*0.07</f>
        <v>2.0510000000000002</v>
      </c>
      <c r="S18" s="170">
        <f>N18*G18*0.08</f>
        <v>2.3440000000000003</v>
      </c>
      <c r="T18" s="93"/>
      <c r="U18" s="93"/>
      <c r="V18" s="93"/>
    </row>
    <row r="19" spans="2:22" ht="20.149999999999999" customHeight="1" x14ac:dyDescent="0.45">
      <c r="B19" s="58"/>
      <c r="C19" s="212"/>
      <c r="D19" s="487"/>
      <c r="E19" s="487"/>
      <c r="F19" s="487"/>
      <c r="G19" s="76"/>
      <c r="H19" s="183"/>
      <c r="I19" s="513"/>
      <c r="J19" s="513"/>
      <c r="K19" s="83"/>
      <c r="L19" s="84"/>
      <c r="N19" s="145"/>
      <c r="O19" s="145"/>
      <c r="P19" s="145"/>
      <c r="R19" s="170"/>
      <c r="S19" s="170"/>
      <c r="T19" s="93"/>
      <c r="U19" s="93"/>
      <c r="V19" s="93"/>
    </row>
    <row r="20" spans="2:22" ht="20.149999999999999" customHeight="1" x14ac:dyDescent="0.45">
      <c r="B20" s="29"/>
      <c r="C20" s="212"/>
      <c r="D20" s="487"/>
      <c r="E20" s="487"/>
      <c r="F20" s="487"/>
      <c r="G20" s="76"/>
      <c r="H20" s="183"/>
      <c r="I20" s="513"/>
      <c r="J20" s="513"/>
      <c r="K20" s="83"/>
      <c r="L20" s="84"/>
      <c r="N20" s="145"/>
      <c r="O20" s="145"/>
      <c r="P20" s="145"/>
    </row>
    <row r="21" spans="2:22" ht="20.149999999999999" customHeight="1" x14ac:dyDescent="0.45">
      <c r="B21" s="29"/>
      <c r="C21" s="212"/>
      <c r="D21" s="487"/>
      <c r="E21" s="487"/>
      <c r="F21" s="487"/>
      <c r="G21" s="76"/>
      <c r="H21" s="183"/>
      <c r="I21" s="513"/>
      <c r="J21" s="513"/>
      <c r="K21" s="83"/>
      <c r="L21" s="84"/>
      <c r="N21" s="145"/>
      <c r="O21" s="145"/>
      <c r="P21" s="145"/>
    </row>
    <row r="22" spans="2:22" ht="20.149999999999999" customHeight="1" x14ac:dyDescent="0.45">
      <c r="B22" s="29"/>
      <c r="C22" s="212"/>
      <c r="D22" s="487"/>
      <c r="E22" s="487"/>
      <c r="F22" s="487"/>
      <c r="G22" s="76"/>
      <c r="H22" s="183"/>
      <c r="I22" s="513"/>
      <c r="J22" s="513"/>
      <c r="K22" s="83"/>
      <c r="L22" s="84"/>
      <c r="N22" s="145"/>
      <c r="O22" s="145"/>
      <c r="P22" s="145"/>
    </row>
    <row r="23" spans="2:22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31"/>
    </row>
    <row r="24" spans="2:22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31"/>
    </row>
    <row r="25" spans="2:22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31"/>
    </row>
    <row r="26" spans="2:22" ht="20.149999999999999" customHeight="1" x14ac:dyDescent="0.45">
      <c r="B26" s="29"/>
      <c r="C26" s="17"/>
      <c r="D26" s="487"/>
      <c r="E26" s="487"/>
      <c r="F26" s="487"/>
      <c r="G26" s="76"/>
      <c r="H26" s="56"/>
      <c r="I26" s="494"/>
      <c r="J26" s="494"/>
      <c r="K26" s="30"/>
      <c r="L26" s="31"/>
    </row>
    <row r="27" spans="2:22" ht="20.149999999999999" customHeight="1" x14ac:dyDescent="0.45">
      <c r="B27" s="104"/>
      <c r="C27" s="105"/>
      <c r="D27" s="514"/>
      <c r="E27" s="514"/>
      <c r="F27" s="514"/>
      <c r="G27" s="105"/>
      <c r="H27" s="105"/>
      <c r="I27" s="124"/>
      <c r="J27" s="124"/>
      <c r="K27" s="108"/>
      <c r="L27" s="125"/>
    </row>
    <row r="28" spans="2:22" ht="20.149999999999999" customHeight="1" thickBot="1" x14ac:dyDescent="0.5">
      <c r="B28" s="36"/>
      <c r="L28" s="37"/>
    </row>
    <row r="29" spans="2:22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89" t="s">
        <v>13</v>
      </c>
      <c r="K29" s="490"/>
      <c r="L29" s="38">
        <f>SUM(L18:L28)</f>
        <v>55</v>
      </c>
      <c r="M29" s="63">
        <f>SUM(P18:P29)</f>
        <v>25.7</v>
      </c>
      <c r="N29" s="133">
        <f>M29/L29</f>
        <v>0.46727272727272728</v>
      </c>
    </row>
    <row r="30" spans="2:22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22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91" t="s">
        <v>19</v>
      </c>
      <c r="K31" s="492"/>
      <c r="L31" s="41">
        <f>L29-L30</f>
        <v>55</v>
      </c>
    </row>
    <row r="32" spans="2:22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4.95</v>
      </c>
    </row>
    <row r="33" spans="2:12" ht="20.149999999999999" customHeight="1" thickBot="1" x14ac:dyDescent="0.5">
      <c r="B33" s="10" t="s">
        <v>676</v>
      </c>
      <c r="C33" s="6"/>
      <c r="D33" s="6"/>
      <c r="E33" s="6"/>
      <c r="F33" s="6"/>
      <c r="G33" s="6"/>
      <c r="H33" s="6"/>
      <c r="I33" s="6"/>
      <c r="J33" s="485" t="s">
        <v>21</v>
      </c>
      <c r="K33" s="486"/>
      <c r="L33" s="43">
        <f>L31+L32</f>
        <v>59.95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144" t="s">
        <v>666</v>
      </c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7">
    <mergeCell ref="D21:F21"/>
    <mergeCell ref="I21:J21"/>
    <mergeCell ref="D17:F17"/>
    <mergeCell ref="D19:F19"/>
    <mergeCell ref="I19:J19"/>
    <mergeCell ref="D20:F20"/>
    <mergeCell ref="I20:J20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33:K33"/>
    <mergeCell ref="D27:F27"/>
    <mergeCell ref="J29:K29"/>
    <mergeCell ref="J31:K3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</mergeCells>
  <conditionalFormatting sqref="C18:C19">
    <cfRule type="duplicateValues" dxfId="121" priority="2"/>
  </conditionalFormatting>
  <conditionalFormatting sqref="C20:C21">
    <cfRule type="duplicateValues" dxfId="120" priority="2656"/>
  </conditionalFormatting>
  <conditionalFormatting sqref="C22">
    <cfRule type="duplicateValues" dxfId="119" priority="7"/>
  </conditionalFormatting>
  <conditionalFormatting sqref="C23">
    <cfRule type="duplicateValues" dxfId="118" priority="4"/>
  </conditionalFormatting>
  <conditionalFormatting sqref="C24">
    <cfRule type="duplicateValues" dxfId="117" priority="3"/>
  </conditionalFormatting>
  <conditionalFormatting sqref="C26">
    <cfRule type="duplicateValues" dxfId="116" priority="9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2C39B-C499-4FF3-A477-1DE46E955D6D}">
  <sheetPr>
    <tabColor rgb="FFFFC000"/>
    <pageSetUpPr fitToPage="1"/>
  </sheetPr>
  <dimension ref="B1:V41"/>
  <sheetViews>
    <sheetView topLeftCell="A9" workbookViewId="0">
      <selection activeCell="K22" sqref="K2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1161</v>
      </c>
      <c r="J10" s="24" t="s">
        <v>27</v>
      </c>
      <c r="K10" s="464">
        <v>202504252</v>
      </c>
      <c r="L10" s="465"/>
    </row>
    <row r="11" spans="2:14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>FOOD REPUBLIC PTE LTD                                  Serangoon Nex@JUICE BAR                    23, Serangoon Central #B2-63                      Singapore 550683</v>
      </c>
      <c r="G11" s="470"/>
      <c r="H11" s="471"/>
      <c r="J11" s="26" t="s">
        <v>9</v>
      </c>
      <c r="K11" s="478">
        <v>45757</v>
      </c>
      <c r="L11" s="479"/>
    </row>
    <row r="12" spans="2:14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>
        <v>4500363424</v>
      </c>
      <c r="L12" s="483"/>
      <c r="N12" s="19" t="s">
        <v>968</v>
      </c>
    </row>
    <row r="13" spans="2:14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1272</v>
      </c>
    </row>
    <row r="14" spans="2:14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  <c r="N14" s="19" t="s">
        <v>1158</v>
      </c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>
        <v>520740</v>
      </c>
      <c r="C18" s="212" t="str">
        <f>VLOOKUP(B18,'Sales Master'!A$3:B$537,2,0)</f>
        <v>M1037A</v>
      </c>
      <c r="D18" s="487" t="str">
        <f>VLOOKUP(C18,'Sales Master'!B$3:D$537,2,)</f>
        <v>Rock Sugar Syrup 冰糖浆</v>
      </c>
      <c r="E18" s="487"/>
      <c r="F18" s="487"/>
      <c r="G18" s="76">
        <v>5</v>
      </c>
      <c r="H18" s="183" t="str">
        <f>VLOOKUP(C18,'Sales Master'!$B$3:$F$2420,5,0)</f>
        <v>5 KG</v>
      </c>
      <c r="I18" s="513" t="str">
        <f>VLOOKUP(C18,'Sales Master'!$B$3:$E$2420,4,0)</f>
        <v>DO!</v>
      </c>
      <c r="J18" s="513"/>
      <c r="K18" s="83">
        <f>VLOOKUP(C18,'Sales Master'!B$3:I$537,8,0)</f>
        <v>11</v>
      </c>
      <c r="L18" s="84">
        <f>K18*G18</f>
        <v>55</v>
      </c>
      <c r="N18" s="145">
        <f>VLOOKUP(C18,'Sales Master'!$B$3:$DA$2279,104,0)</f>
        <v>5.86</v>
      </c>
      <c r="O18" s="145">
        <f>K18-N18</f>
        <v>5.14</v>
      </c>
      <c r="P18" s="145">
        <f>O18*G18</f>
        <v>25.7</v>
      </c>
      <c r="R18" s="170">
        <f>N18*G18*0.07</f>
        <v>2.0510000000000002</v>
      </c>
      <c r="S18" s="170">
        <f>N18*G18*0.08</f>
        <v>2.3440000000000003</v>
      </c>
      <c r="T18" s="93"/>
      <c r="U18" s="93"/>
      <c r="V18" s="93"/>
    </row>
    <row r="19" spans="2:22" ht="20.149999999999999" customHeight="1" x14ac:dyDescent="0.45">
      <c r="B19" s="58"/>
      <c r="C19" s="212"/>
      <c r="D19" s="487"/>
      <c r="E19" s="487"/>
      <c r="F19" s="487"/>
      <c r="G19" s="76"/>
      <c r="H19" s="183"/>
      <c r="I19" s="513"/>
      <c r="J19" s="513"/>
      <c r="K19" s="83"/>
      <c r="L19" s="84"/>
      <c r="N19" s="145"/>
      <c r="O19" s="145"/>
      <c r="P19" s="145"/>
      <c r="R19" s="170"/>
      <c r="S19" s="170"/>
      <c r="T19" s="93"/>
      <c r="U19" s="93"/>
      <c r="V19" s="93"/>
    </row>
    <row r="20" spans="2:22" ht="20.149999999999999" customHeight="1" x14ac:dyDescent="0.45">
      <c r="B20" s="29"/>
      <c r="C20" s="212"/>
      <c r="D20" s="487"/>
      <c r="E20" s="487"/>
      <c r="F20" s="487"/>
      <c r="G20" s="76"/>
      <c r="H20" s="183"/>
      <c r="I20" s="513"/>
      <c r="J20" s="513"/>
      <c r="K20" s="83"/>
      <c r="L20" s="84"/>
      <c r="N20" s="145"/>
      <c r="O20" s="145"/>
      <c r="P20" s="145"/>
    </row>
    <row r="21" spans="2:22" ht="20.149999999999999" customHeight="1" x14ac:dyDescent="0.45">
      <c r="B21" s="29"/>
      <c r="C21" s="212"/>
      <c r="D21" s="487"/>
      <c r="E21" s="487"/>
      <c r="F21" s="487"/>
      <c r="G21" s="76"/>
      <c r="H21" s="183"/>
      <c r="I21" s="513"/>
      <c r="J21" s="513"/>
      <c r="K21" s="83"/>
      <c r="L21" s="84"/>
      <c r="N21" s="145"/>
      <c r="O21" s="145"/>
      <c r="P21" s="145"/>
    </row>
    <row r="22" spans="2:22" ht="20.149999999999999" customHeight="1" x14ac:dyDescent="0.45">
      <c r="B22" s="29"/>
      <c r="C22" s="212"/>
      <c r="D22" s="487"/>
      <c r="E22" s="487"/>
      <c r="F22" s="487"/>
      <c r="G22" s="76"/>
      <c r="H22" s="183"/>
      <c r="I22" s="513"/>
      <c r="J22" s="513"/>
      <c r="K22" s="83"/>
      <c r="L22" s="84"/>
      <c r="N22" s="145"/>
      <c r="O22" s="145"/>
      <c r="P22" s="145"/>
    </row>
    <row r="23" spans="2:22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31"/>
    </row>
    <row r="24" spans="2:22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31"/>
    </row>
    <row r="25" spans="2:22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31"/>
    </row>
    <row r="26" spans="2:22" ht="20.149999999999999" customHeight="1" x14ac:dyDescent="0.45">
      <c r="B26" s="29"/>
      <c r="C26" s="17"/>
      <c r="D26" s="487"/>
      <c r="E26" s="487"/>
      <c r="F26" s="487"/>
      <c r="G26" s="76"/>
      <c r="H26" s="56"/>
      <c r="I26" s="494"/>
      <c r="J26" s="494"/>
      <c r="K26" s="30"/>
      <c r="L26" s="31"/>
    </row>
    <row r="27" spans="2:22" ht="20.149999999999999" customHeight="1" x14ac:dyDescent="0.45">
      <c r="B27" s="104"/>
      <c r="C27" s="105"/>
      <c r="D27" s="514"/>
      <c r="E27" s="514"/>
      <c r="F27" s="514"/>
      <c r="G27" s="105"/>
      <c r="H27" s="105"/>
      <c r="I27" s="124"/>
      <c r="J27" s="124"/>
      <c r="K27" s="108"/>
      <c r="L27" s="125"/>
    </row>
    <row r="28" spans="2:22" ht="20.149999999999999" customHeight="1" thickBot="1" x14ac:dyDescent="0.5">
      <c r="B28" s="36"/>
      <c r="L28" s="37"/>
    </row>
    <row r="29" spans="2:22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89" t="s">
        <v>13</v>
      </c>
      <c r="K29" s="490"/>
      <c r="L29" s="38">
        <f>SUM(L18:L28)</f>
        <v>55</v>
      </c>
      <c r="M29" s="63">
        <f>SUM(P18:P29)</f>
        <v>25.7</v>
      </c>
      <c r="N29" s="133">
        <f>M29/L29</f>
        <v>0.46727272727272728</v>
      </c>
    </row>
    <row r="30" spans="2:22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22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91" t="s">
        <v>19</v>
      </c>
      <c r="K31" s="492"/>
      <c r="L31" s="41">
        <f>L29-L30</f>
        <v>55</v>
      </c>
    </row>
    <row r="32" spans="2:22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4.95</v>
      </c>
    </row>
    <row r="33" spans="2:12" ht="20.149999999999999" customHeight="1" thickBot="1" x14ac:dyDescent="0.5">
      <c r="B33" s="10" t="s">
        <v>676</v>
      </c>
      <c r="C33" s="6"/>
      <c r="D33" s="6"/>
      <c r="E33" s="6"/>
      <c r="F33" s="6"/>
      <c r="G33" s="6"/>
      <c r="H33" s="6"/>
      <c r="I33" s="6"/>
      <c r="J33" s="485" t="s">
        <v>21</v>
      </c>
      <c r="K33" s="486"/>
      <c r="L33" s="43">
        <f>L31+L32</f>
        <v>59.95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144" t="s">
        <v>666</v>
      </c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7">
    <mergeCell ref="D24:F24"/>
    <mergeCell ref="I24:J24"/>
    <mergeCell ref="J31:K31"/>
    <mergeCell ref="J33:K33"/>
    <mergeCell ref="D25:F25"/>
    <mergeCell ref="I25:J25"/>
    <mergeCell ref="D26:F26"/>
    <mergeCell ref="I26:J26"/>
    <mergeCell ref="D27:F27"/>
    <mergeCell ref="J29:K29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19">
    <cfRule type="duplicateValues" dxfId="115" priority="1"/>
  </conditionalFormatting>
  <conditionalFormatting sqref="C20:C21">
    <cfRule type="duplicateValues" dxfId="114" priority="6"/>
  </conditionalFormatting>
  <conditionalFormatting sqref="C22">
    <cfRule type="duplicateValues" dxfId="113" priority="4"/>
  </conditionalFormatting>
  <conditionalFormatting sqref="C23">
    <cfRule type="duplicateValues" dxfId="112" priority="3"/>
  </conditionalFormatting>
  <conditionalFormatting sqref="C24">
    <cfRule type="duplicateValues" dxfId="111" priority="2"/>
  </conditionalFormatting>
  <conditionalFormatting sqref="C26">
    <cfRule type="duplicateValues" dxfId="110" priority="5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CC71D-B86C-43F9-86C1-6711BBBA8521}">
  <sheetPr codeName="Sheet72">
    <tabColor rgb="FF7030A0"/>
    <pageSetUpPr fitToPage="1"/>
  </sheetPr>
  <dimension ref="B1:V1048576"/>
  <sheetViews>
    <sheetView topLeftCell="A9" workbookViewId="0">
      <selection activeCell="K11" sqref="K11:L1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1166</v>
      </c>
      <c r="J10" s="24" t="s">
        <v>27</v>
      </c>
      <c r="K10" s="464">
        <v>202411027</v>
      </c>
      <c r="L10" s="465"/>
    </row>
    <row r="11" spans="2:14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 xml:space="preserve">FOOD REPUBLIC PTE LTD                                   ION Orchard @ Juice Bar No: #26               2, Orchard Turn #B4-03/04        Singapore 238801                                           </v>
      </c>
      <c r="G11" s="470"/>
      <c r="H11" s="471"/>
      <c r="J11" s="26" t="s">
        <v>9</v>
      </c>
      <c r="K11" s="512">
        <v>45597</v>
      </c>
      <c r="L11" s="479"/>
    </row>
    <row r="12" spans="2:14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4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1298</v>
      </c>
    </row>
    <row r="14" spans="2:14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  <c r="N14" s="19" t="s">
        <v>1280</v>
      </c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/>
      <c r="C18" s="212" t="s">
        <v>995</v>
      </c>
      <c r="D18" s="487" t="str">
        <f>VLOOKUP(C18,'Sales Master'!B$3:D$537,2,)</f>
        <v>Coconut Sugar 椰糖</v>
      </c>
      <c r="E18" s="487"/>
      <c r="F18" s="487"/>
      <c r="G18" s="76">
        <v>1</v>
      </c>
      <c r="H18" s="82" t="str">
        <f>VLOOKUP(C18,'Sales Master'!$B$3:$F$2420,5,0)</f>
        <v>10 KG/ ctn</v>
      </c>
      <c r="I18" s="447" t="str">
        <f>VLOOKUP(C18,'Sales Master'!$B$3:$E$2420,4,0)</f>
        <v>BL BRAND</v>
      </c>
      <c r="J18" s="447"/>
      <c r="K18" s="83">
        <f>VLOOKUP(C18,'Sales Master'!B$3:I$537,8,0)</f>
        <v>35</v>
      </c>
      <c r="L18" s="84">
        <f>K18*G18</f>
        <v>35</v>
      </c>
      <c r="N18" s="145">
        <f>VLOOKUP(C18,'Sales Master'!$B$3:$DA$2279,104,0)</f>
        <v>28</v>
      </c>
      <c r="O18" s="145">
        <f>K18-N18</f>
        <v>7</v>
      </c>
      <c r="P18" s="145">
        <f>O18*G18</f>
        <v>7</v>
      </c>
      <c r="Q18" s="170"/>
      <c r="R18" s="93">
        <v>1</v>
      </c>
      <c r="S18" s="93" t="s">
        <v>200</v>
      </c>
      <c r="T18" s="93" t="s">
        <v>429</v>
      </c>
      <c r="U18" s="93"/>
      <c r="V18" s="93">
        <v>32</v>
      </c>
    </row>
    <row r="19" spans="2:22" ht="20.149999999999999" customHeight="1" x14ac:dyDescent="0.45">
      <c r="B19" s="58"/>
      <c r="C19" s="212" t="s">
        <v>987</v>
      </c>
      <c r="D19" s="487" t="str">
        <f>VLOOKUP(C19,'Sales Master'!B$3:D$537,2,)</f>
        <v>Brown Sugar 黑糖</v>
      </c>
      <c r="E19" s="487"/>
      <c r="F19" s="487"/>
      <c r="G19" s="76">
        <v>1</v>
      </c>
      <c r="H19" s="82" t="str">
        <f>VLOOKUP(C19,'Sales Master'!$B$3:$F$2420,5,0)</f>
        <v>6 KG</v>
      </c>
      <c r="I19" s="447" t="str">
        <f>VLOOKUP(C19,'Sales Master'!$B$3:$E$2420,4,0)</f>
        <v>Star</v>
      </c>
      <c r="J19" s="447"/>
      <c r="K19" s="83">
        <f>VLOOKUP(C19,'Sales Master'!B$3:I$537,8,0)</f>
        <v>17</v>
      </c>
      <c r="L19" s="84">
        <f>K19*G19</f>
        <v>17</v>
      </c>
      <c r="N19" s="145"/>
      <c r="O19" s="145"/>
      <c r="P19" s="145"/>
      <c r="Q19" s="170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87"/>
      <c r="E20" s="487"/>
      <c r="F20" s="487"/>
      <c r="G20" s="76"/>
      <c r="H20" s="82"/>
      <c r="I20" s="447"/>
      <c r="J20" s="447"/>
      <c r="K20" s="83"/>
      <c r="L20" s="84"/>
      <c r="N20" s="145"/>
      <c r="O20" s="145"/>
      <c r="P20" s="145"/>
      <c r="Q20" s="170"/>
      <c r="R20" s="93"/>
    </row>
    <row r="21" spans="2:22" ht="20.149999999999999" customHeight="1" x14ac:dyDescent="0.45">
      <c r="B21" s="29"/>
      <c r="C21" s="17"/>
      <c r="D21" s="487"/>
      <c r="E21" s="487"/>
      <c r="F21" s="487"/>
      <c r="G21" s="76"/>
      <c r="H21" s="82"/>
      <c r="I21" s="447"/>
      <c r="J21" s="447"/>
      <c r="K21" s="83"/>
      <c r="L21" s="84"/>
      <c r="N21" s="145"/>
      <c r="O21" s="145"/>
      <c r="P21" s="145"/>
      <c r="Q21" s="170"/>
      <c r="R21" s="93"/>
    </row>
    <row r="22" spans="2:22" ht="20.149999999999999" customHeight="1" x14ac:dyDescent="0.45">
      <c r="B22" s="29"/>
      <c r="C22" s="17"/>
      <c r="D22" s="487"/>
      <c r="E22" s="487"/>
      <c r="F22" s="487"/>
      <c r="G22" s="76"/>
      <c r="H22" s="82"/>
      <c r="I22" s="447"/>
      <c r="J22" s="447"/>
      <c r="K22" s="83"/>
      <c r="L22" s="84"/>
      <c r="N22" s="145"/>
      <c r="O22" s="145"/>
      <c r="P22" s="145"/>
      <c r="Q22" s="170"/>
      <c r="R22" s="93">
        <v>1</v>
      </c>
    </row>
    <row r="23" spans="2:22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31"/>
    </row>
    <row r="24" spans="2:22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31"/>
    </row>
    <row r="25" spans="2:22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31"/>
    </row>
    <row r="26" spans="2:22" ht="20.149999999999999" customHeight="1" x14ac:dyDescent="0.45">
      <c r="B26" s="29"/>
      <c r="C26" s="17"/>
      <c r="D26" s="487"/>
      <c r="E26" s="487"/>
      <c r="F26" s="487"/>
      <c r="G26" s="76"/>
      <c r="H26" s="56"/>
      <c r="I26" s="494"/>
      <c r="J26" s="494"/>
      <c r="K26" s="30"/>
      <c r="L26" s="31"/>
    </row>
    <row r="27" spans="2:22" ht="20.149999999999999" customHeight="1" x14ac:dyDescent="0.45">
      <c r="B27" s="29"/>
      <c r="C27" s="17"/>
      <c r="D27" s="487"/>
      <c r="E27" s="487"/>
      <c r="F27" s="487"/>
      <c r="G27" s="76"/>
      <c r="H27" s="56"/>
      <c r="I27" s="494"/>
      <c r="J27" s="494"/>
      <c r="K27" s="30"/>
      <c r="L27" s="31"/>
    </row>
    <row r="28" spans="2:22" ht="20.149999999999999" customHeight="1" x14ac:dyDescent="0.45">
      <c r="B28" s="29"/>
      <c r="C28" s="17"/>
      <c r="G28" s="76"/>
      <c r="H28" s="56"/>
      <c r="I28" s="56"/>
      <c r="J28" s="56"/>
      <c r="K28" s="30"/>
      <c r="L28" s="31"/>
    </row>
    <row r="29" spans="2:22" ht="20.149999999999999" customHeight="1" x14ac:dyDescent="0.45">
      <c r="B29" s="104"/>
      <c r="C29" s="105"/>
      <c r="D29" s="514"/>
      <c r="E29" s="514"/>
      <c r="F29" s="514"/>
      <c r="G29" s="105"/>
      <c r="H29" s="105"/>
      <c r="I29" s="124"/>
      <c r="J29" s="124"/>
      <c r="K29" s="108"/>
      <c r="L29" s="12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89" t="s">
        <v>13</v>
      </c>
      <c r="K31" s="490"/>
      <c r="L31" s="38">
        <f>SUM(L18:L30)</f>
        <v>52</v>
      </c>
      <c r="M31" s="63">
        <f>SUM(P18:P19)</f>
        <v>7</v>
      </c>
      <c r="N31" s="133">
        <f>M31/L31</f>
        <v>0.13461538461538461</v>
      </c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91" t="s">
        <v>19</v>
      </c>
      <c r="K33" s="492"/>
      <c r="L33" s="41">
        <f>L31-L32</f>
        <v>52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4.68</v>
      </c>
    </row>
    <row r="35" spans="2:12" ht="20.149999999999999" customHeight="1" thickBot="1" x14ac:dyDescent="0.5">
      <c r="B35" s="10" t="s">
        <v>676</v>
      </c>
      <c r="C35" s="6"/>
      <c r="D35" s="6"/>
      <c r="E35" s="6"/>
      <c r="F35" s="6"/>
      <c r="G35" s="6"/>
      <c r="H35" s="6"/>
      <c r="I35" s="6"/>
      <c r="J35" s="485" t="s">
        <v>21</v>
      </c>
      <c r="K35" s="486"/>
      <c r="L35" s="43">
        <f>L33+L34</f>
        <v>56.68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666</v>
      </c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1048576" spans="4:6" x14ac:dyDescent="0.45">
      <c r="D1048576" s="487"/>
      <c r="E1048576" s="487"/>
      <c r="F1048576" s="487"/>
    </row>
  </sheetData>
  <mergeCells count="40">
    <mergeCell ref="D1048576:F104857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D17:F17"/>
    <mergeCell ref="D21:F21"/>
    <mergeCell ref="I21:J21"/>
    <mergeCell ref="D22:F22"/>
    <mergeCell ref="I22:J22"/>
    <mergeCell ref="I19:J19"/>
    <mergeCell ref="D20:F20"/>
    <mergeCell ref="I20:J20"/>
    <mergeCell ref="D18:F18"/>
    <mergeCell ref="I18:J18"/>
    <mergeCell ref="D23:F23"/>
    <mergeCell ref="I23:J23"/>
    <mergeCell ref="J35:K35"/>
    <mergeCell ref="D24:F24"/>
    <mergeCell ref="I24:J24"/>
    <mergeCell ref="D25:F25"/>
    <mergeCell ref="I25:J25"/>
    <mergeCell ref="D26:F26"/>
    <mergeCell ref="I26:J26"/>
    <mergeCell ref="D27:F27"/>
    <mergeCell ref="I27:J27"/>
    <mergeCell ref="D29:F29"/>
    <mergeCell ref="J31:K31"/>
    <mergeCell ref="J33:K33"/>
  </mergeCells>
  <conditionalFormatting sqref="C18">
    <cfRule type="duplicateValues" dxfId="109" priority="3"/>
  </conditionalFormatting>
  <conditionalFormatting sqref="C19">
    <cfRule type="duplicateValues" dxfId="108" priority="6"/>
  </conditionalFormatting>
  <conditionalFormatting sqref="C20">
    <cfRule type="duplicateValues" dxfId="107" priority="4"/>
  </conditionalFormatting>
  <conditionalFormatting sqref="C21">
    <cfRule type="duplicateValues" dxfId="106" priority="2"/>
  </conditionalFormatting>
  <conditionalFormatting sqref="C22">
    <cfRule type="duplicateValues" dxfId="105" priority="1"/>
  </conditionalFormatting>
  <conditionalFormatting sqref="C24">
    <cfRule type="duplicateValues" dxfId="104" priority="7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38D66-29CD-4D04-864D-0A495E7E4AFD}">
  <sheetPr codeName="Sheet31">
    <tabColor rgb="FF7030A0"/>
    <pageSetUpPr fitToPage="1"/>
  </sheetPr>
  <dimension ref="B1:V44"/>
  <sheetViews>
    <sheetView topLeftCell="B12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1167</v>
      </c>
      <c r="J10" s="24" t="s">
        <v>27</v>
      </c>
      <c r="K10" s="464">
        <v>202303318</v>
      </c>
      <c r="L10" s="465"/>
    </row>
    <row r="11" spans="2:14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 xml:space="preserve">FOOD REPUBLIC PTE LTD                                   Shaw Lido Orchard@ Juice Bar No 7                     1, Scotts Road #B1-01 Shaw Centre        Singapore 228208                                 </v>
      </c>
      <c r="G11" s="470"/>
      <c r="H11" s="471"/>
      <c r="J11" s="26" t="s">
        <v>9</v>
      </c>
      <c r="K11" s="512">
        <v>45000</v>
      </c>
      <c r="L11" s="479"/>
    </row>
    <row r="12" spans="2:14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4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1298</v>
      </c>
    </row>
    <row r="14" spans="2:14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/>
      <c r="C18" s="17" t="s">
        <v>1010</v>
      </c>
      <c r="D18" s="487" t="str">
        <f>VLOOKUP(C18,'Sales Master'!B$3:D$537,2,)</f>
        <v>Lime 酸甘</v>
      </c>
      <c r="E18" s="487"/>
      <c r="F18" s="487"/>
      <c r="G18" s="76">
        <v>0.5</v>
      </c>
      <c r="H18" s="82" t="str">
        <f>VLOOKUP(C18,'Sales Master'!$B$3:$F$2420,5,0)</f>
        <v>1 KG</v>
      </c>
      <c r="I18" s="447" t="str">
        <f>VLOOKUP(C18,'Sales Master'!$B$3:$E$2420,4,0)</f>
        <v>-</v>
      </c>
      <c r="J18" s="447"/>
      <c r="K18" s="83">
        <f>VLOOKUP(C18,'Sales Master'!B$3:I$537,8,0)</f>
        <v>3.2</v>
      </c>
      <c r="L18" s="84">
        <f>K18*G18</f>
        <v>1.6</v>
      </c>
      <c r="N18" s="145">
        <f>VLOOKUP(C18,'Sales Master'!$B$3:$DA$2279,104,0)</f>
        <v>1.8</v>
      </c>
      <c r="O18" s="145">
        <f>K18-N18</f>
        <v>1.4000000000000001</v>
      </c>
      <c r="P18" s="145">
        <f>O18*G18</f>
        <v>0.70000000000000007</v>
      </c>
      <c r="Q18" s="170"/>
      <c r="R18" s="93">
        <v>1</v>
      </c>
      <c r="S18" s="93" t="s">
        <v>200</v>
      </c>
      <c r="T18" s="93" t="s">
        <v>429</v>
      </c>
      <c r="U18" s="93"/>
      <c r="V18" s="93">
        <v>32</v>
      </c>
    </row>
    <row r="19" spans="2:22" ht="20.149999999999999" customHeight="1" x14ac:dyDescent="0.45">
      <c r="B19" s="58"/>
      <c r="C19" s="17" t="s">
        <v>1016</v>
      </c>
      <c r="D19" s="487" t="str">
        <f>VLOOKUP(C19,'Sales Master'!B$3:D$537,2,)</f>
        <v>Butterfly Peas 兰花</v>
      </c>
      <c r="E19" s="487"/>
      <c r="F19" s="487"/>
      <c r="G19" s="76">
        <v>1</v>
      </c>
      <c r="H19" s="82" t="str">
        <f>VLOOKUP(C19,'Sales Master'!$B$3:$F$2420,5,0)</f>
        <v>50 GM</v>
      </c>
      <c r="I19" s="447" t="str">
        <f>VLOOKUP(C19,'Sales Master'!$B$3:$E$2420,4,0)</f>
        <v>-</v>
      </c>
      <c r="J19" s="447"/>
      <c r="K19" s="83">
        <f>VLOOKUP(C19,'Sales Master'!B$3:I$537,8,0)</f>
        <v>15</v>
      </c>
      <c r="L19" s="84">
        <f>K19*G19</f>
        <v>15</v>
      </c>
      <c r="N19" s="145">
        <f>VLOOKUP(C19,'Sales Master'!$B$3:$DA$2279,104,0)</f>
        <v>3.6</v>
      </c>
      <c r="O19" s="145">
        <f>K19-N19</f>
        <v>11.4</v>
      </c>
      <c r="P19" s="145">
        <f>O19*G19</f>
        <v>11.4</v>
      </c>
      <c r="Q19" s="170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17" t="s">
        <v>1280</v>
      </c>
      <c r="D20" s="487" t="str">
        <f>VLOOKUP(C20,'Sales Master'!B$3:D$537,2,)</f>
        <v>Pumpkin Gourd 金瓜</v>
      </c>
      <c r="E20" s="487"/>
      <c r="F20" s="487"/>
      <c r="G20" s="76">
        <v>1.4</v>
      </c>
      <c r="H20" s="82" t="str">
        <f>VLOOKUP(C20,'Sales Master'!$B$3:$F$2420,5,0)</f>
        <v>1 KG</v>
      </c>
      <c r="I20" s="447" t="str">
        <f>VLOOKUP(C20,'Sales Master'!$B$3:$E$2420,4,0)</f>
        <v>-</v>
      </c>
      <c r="J20" s="447"/>
      <c r="K20" s="83">
        <f>VLOOKUP(C20,'Sales Master'!B$3:I$537,8,0)</f>
        <v>2.5</v>
      </c>
      <c r="L20" s="84">
        <f>K20*G20</f>
        <v>3.5</v>
      </c>
      <c r="N20" s="145">
        <f>VLOOKUP(C20,'Sales Master'!$B$3:$DA$2279,104,0)</f>
        <v>1.6</v>
      </c>
      <c r="O20" s="145">
        <f>K20-N20</f>
        <v>0.89999999999999991</v>
      </c>
      <c r="P20" s="145">
        <f>O20*G20</f>
        <v>1.2599999999999998</v>
      </c>
    </row>
    <row r="21" spans="2:22" ht="20.149999999999999" customHeight="1" x14ac:dyDescent="0.45">
      <c r="B21" s="29"/>
      <c r="C21" s="17"/>
      <c r="D21" s="487"/>
      <c r="E21" s="487"/>
      <c r="F21" s="487"/>
      <c r="G21" s="76"/>
      <c r="H21" s="56"/>
      <c r="I21" s="494"/>
      <c r="J21" s="494"/>
      <c r="K21" s="30"/>
      <c r="L21" s="31"/>
    </row>
    <row r="22" spans="2:22" ht="20.149999999999999" customHeight="1" x14ac:dyDescent="0.45">
      <c r="B22" s="29"/>
      <c r="C22" s="17"/>
      <c r="D22" s="487"/>
      <c r="E22" s="487"/>
      <c r="F22" s="487"/>
      <c r="G22" s="76"/>
      <c r="H22" s="56"/>
      <c r="I22" s="494"/>
      <c r="J22" s="494"/>
      <c r="K22" s="30"/>
      <c r="L22" s="31"/>
    </row>
    <row r="23" spans="2:22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31"/>
    </row>
    <row r="24" spans="2:22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31"/>
    </row>
    <row r="25" spans="2:22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31"/>
    </row>
    <row r="26" spans="2:22" ht="20.149999999999999" customHeight="1" x14ac:dyDescent="0.45">
      <c r="B26" s="29"/>
      <c r="C26" s="17"/>
      <c r="D26" s="487"/>
      <c r="E26" s="487"/>
      <c r="F26" s="487"/>
      <c r="G26" s="76"/>
      <c r="H26" s="56"/>
      <c r="I26" s="494"/>
      <c r="J26" s="494"/>
      <c r="K26" s="30"/>
      <c r="L26" s="31"/>
    </row>
    <row r="27" spans="2:22" ht="20.149999999999999" customHeight="1" x14ac:dyDescent="0.45">
      <c r="B27" s="29"/>
      <c r="C27" s="17"/>
      <c r="D27" s="487"/>
      <c r="E27" s="487"/>
      <c r="F27" s="487"/>
      <c r="G27" s="76"/>
      <c r="H27" s="56"/>
      <c r="I27" s="494"/>
      <c r="J27" s="494"/>
      <c r="K27" s="30"/>
      <c r="L27" s="31"/>
    </row>
    <row r="28" spans="2:22" ht="20.149999999999999" customHeight="1" x14ac:dyDescent="0.45">
      <c r="B28" s="29"/>
      <c r="C28" s="17"/>
      <c r="D28" s="487"/>
      <c r="E28" s="487"/>
      <c r="F28" s="487"/>
      <c r="G28" s="76"/>
      <c r="H28" s="56"/>
      <c r="I28" s="494"/>
      <c r="J28" s="494"/>
      <c r="K28" s="30"/>
      <c r="L28" s="31"/>
    </row>
    <row r="29" spans="2:22" ht="20.149999999999999" customHeight="1" x14ac:dyDescent="0.45">
      <c r="B29" s="29"/>
      <c r="C29" s="17"/>
      <c r="G29" s="76"/>
      <c r="H29" s="56"/>
      <c r="I29" s="56"/>
      <c r="J29" s="56"/>
      <c r="K29" s="30"/>
      <c r="L29" s="31"/>
    </row>
    <row r="30" spans="2:22" ht="20.149999999999999" customHeight="1" x14ac:dyDescent="0.45">
      <c r="B30" s="104"/>
      <c r="C30" s="105"/>
      <c r="D30" s="514"/>
      <c r="E30" s="514"/>
      <c r="F30" s="514"/>
      <c r="G30" s="105"/>
      <c r="H30" s="105"/>
      <c r="I30" s="124"/>
      <c r="J30" s="124"/>
      <c r="K30" s="108"/>
      <c r="L30" s="12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89" t="s">
        <v>13</v>
      </c>
      <c r="K32" s="490"/>
      <c r="L32" s="38">
        <f>SUM(L18:L31)</f>
        <v>20.100000000000001</v>
      </c>
      <c r="M32" s="63">
        <f>SUM(P18:P19)</f>
        <v>12.1</v>
      </c>
      <c r="N32" s="133">
        <f>M32/L32</f>
        <v>0.60199004975124371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91" t="s">
        <v>19</v>
      </c>
      <c r="K34" s="492"/>
      <c r="L34" s="41">
        <f>L32-L33</f>
        <v>20.100000000000001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1.8090000000000002</v>
      </c>
    </row>
    <row r="36" spans="2:12" ht="20.149999999999999" customHeight="1" thickBot="1" x14ac:dyDescent="0.5">
      <c r="B36" s="10" t="s">
        <v>676</v>
      </c>
      <c r="C36" s="6"/>
      <c r="D36" s="6"/>
      <c r="E36" s="6"/>
      <c r="F36" s="6"/>
      <c r="G36" s="6"/>
      <c r="H36" s="6"/>
      <c r="I36" s="6"/>
      <c r="J36" s="485" t="s">
        <v>21</v>
      </c>
      <c r="K36" s="486"/>
      <c r="L36" s="43">
        <f>L34+L35</f>
        <v>21.909000000000002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666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1">
    <mergeCell ref="D24:F24"/>
    <mergeCell ref="I24:J24"/>
    <mergeCell ref="J36:K36"/>
    <mergeCell ref="D25:F25"/>
    <mergeCell ref="I25:J25"/>
    <mergeCell ref="D26:F26"/>
    <mergeCell ref="I26:J26"/>
    <mergeCell ref="D27:F27"/>
    <mergeCell ref="I27:J27"/>
    <mergeCell ref="D28:F28"/>
    <mergeCell ref="I28:J28"/>
    <mergeCell ref="D30:F30"/>
    <mergeCell ref="J32:K32"/>
    <mergeCell ref="J34:K34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03" priority="3"/>
  </conditionalFormatting>
  <conditionalFormatting sqref="C19">
    <cfRule type="duplicateValues" dxfId="102" priority="6"/>
  </conditionalFormatting>
  <conditionalFormatting sqref="C20">
    <cfRule type="duplicateValues" dxfId="101" priority="4"/>
  </conditionalFormatting>
  <conditionalFormatting sqref="C21">
    <cfRule type="duplicateValues" dxfId="100" priority="5"/>
  </conditionalFormatting>
  <conditionalFormatting sqref="C22">
    <cfRule type="duplicateValues" dxfId="99" priority="2"/>
  </conditionalFormatting>
  <conditionalFormatting sqref="C23">
    <cfRule type="duplicateValues" dxfId="98" priority="1"/>
  </conditionalFormatting>
  <conditionalFormatting sqref="C25">
    <cfRule type="duplicateValues" dxfId="97" priority="7"/>
  </conditionalFormatting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43CB9-F3DC-49DB-80FE-38C04ED59ACB}">
  <sheetPr codeName="Sheet214">
    <tabColor rgb="FFFFC000"/>
    <pageSetUpPr fitToPage="1"/>
  </sheetPr>
  <dimension ref="B1:V1048505"/>
  <sheetViews>
    <sheetView zoomScaleNormal="100" workbookViewId="0">
      <selection activeCell="B1" sqref="B1:L4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1168</v>
      </c>
      <c r="J10" s="24" t="s">
        <v>27</v>
      </c>
      <c r="K10" s="464">
        <v>202504236</v>
      </c>
      <c r="L10" s="465"/>
    </row>
    <row r="11" spans="2:12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 xml:space="preserve">FOOD REPUBLIC PTE LTD                            Shaw Lido Orchard@ICE shop                    1, Scotts Road #B1-01 Shaw Centre        Singapore 228208                                 </v>
      </c>
      <c r="G11" s="470"/>
      <c r="H11" s="471"/>
      <c r="J11" s="26" t="s">
        <v>9</v>
      </c>
      <c r="K11" s="512">
        <v>45756</v>
      </c>
      <c r="L11" s="479"/>
    </row>
    <row r="12" spans="2:12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>
        <v>4500363420</v>
      </c>
      <c r="L12" s="483"/>
    </row>
    <row r="13" spans="2:12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520695</v>
      </c>
      <c r="C18" s="212" t="str">
        <f>VLOOKUP(B18,'Sales Master'!A$3:B$537,2,0)</f>
        <v>P3001B</v>
      </c>
      <c r="D18" s="487" t="str">
        <f>VLOOKUP(C18,'Sales Master'!B$3:D$537,2,)</f>
        <v>Atap Seeds in Syrup 亚嗒子</v>
      </c>
      <c r="E18" s="487"/>
      <c r="F18" s="487"/>
      <c r="G18" s="76">
        <v>1</v>
      </c>
      <c r="H18" s="183" t="str">
        <f>VLOOKUP(C18,'Sales Master'!$B$3:$F$2420,5,0)</f>
        <v>NW(1.6:0.6) 2.2kg/ Bag包</v>
      </c>
      <c r="I18" s="513" t="str">
        <f>VLOOKUP(C18,'Sales Master'!$B$3:$E$2420,4,0)</f>
        <v>DO!</v>
      </c>
      <c r="J18" s="513"/>
      <c r="K18" s="83">
        <f>VLOOKUP(C18,'Sales Master'!B$3:I$537,8,0)</f>
        <v>10</v>
      </c>
      <c r="L18" s="84">
        <f>K18*G18</f>
        <v>10</v>
      </c>
      <c r="N18" s="19" t="s">
        <v>1298</v>
      </c>
      <c r="T18" s="93" t="s">
        <v>429</v>
      </c>
      <c r="U18" s="93"/>
      <c r="V18" s="93">
        <v>32</v>
      </c>
    </row>
    <row r="19" spans="2:22" ht="20.149999999999999" customHeight="1" x14ac:dyDescent="0.45">
      <c r="B19" s="58">
        <v>520713</v>
      </c>
      <c r="C19" s="212" t="str">
        <f>VLOOKUP(B19,'Sales Master'!A$3:B$537,2,0)</f>
        <v>P3062</v>
      </c>
      <c r="D19" s="487" t="str">
        <f>VLOOKUP(C19,'Sales Master'!B$3:D$537,2,)</f>
        <v>Dried Roselle 洛神花</v>
      </c>
      <c r="E19" s="487"/>
      <c r="F19" s="487"/>
      <c r="G19" s="76">
        <v>1</v>
      </c>
      <c r="H19" s="183" t="str">
        <f>VLOOKUP(C19,'Sales Master'!$B$3:$F$2420,5,0)</f>
        <v>1 KG</v>
      </c>
      <c r="I19" s="513" t="str">
        <f>VLOOKUP(C19,'Sales Master'!$B$3:$E$2420,4,0)</f>
        <v>China</v>
      </c>
      <c r="J19" s="513"/>
      <c r="K19" s="83">
        <f>VLOOKUP(C19,'Sales Master'!B$3:I$537,8,0)</f>
        <v>22</v>
      </c>
      <c r="L19" s="84">
        <f>K19*G19</f>
        <v>22</v>
      </c>
    </row>
    <row r="20" spans="2:22" ht="20.149999999999999" customHeight="1" x14ac:dyDescent="0.45">
      <c r="B20" s="58">
        <v>520733</v>
      </c>
      <c r="C20" s="212" t="str">
        <f>VLOOKUP(B20,'Sales Master'!A$3:B$537,2,0)</f>
        <v>P6002A</v>
      </c>
      <c r="D20" s="498" t="str">
        <f>VLOOKUP(C20,'Sales Master'!B$3:D$537,2,)</f>
        <v>Skinless Sweet Potato 去皮番薯</v>
      </c>
      <c r="E20" s="498"/>
      <c r="F20" s="498"/>
      <c r="G20" s="76">
        <v>2</v>
      </c>
      <c r="H20" s="183" t="str">
        <f>VLOOKUP(C20,'Sales Master'!$B$3:$F$2420,5,0)</f>
        <v>5 KG</v>
      </c>
      <c r="I20" s="513" t="str">
        <f>VLOOKUP(C20,'Sales Master'!$B$3:$E$2420,4,0)</f>
        <v>Malaysia</v>
      </c>
      <c r="J20" s="513"/>
      <c r="K20" s="83">
        <f>VLOOKUP(C20,'Sales Master'!B$3:I$537,8,0)</f>
        <v>18</v>
      </c>
      <c r="L20" s="84">
        <f>K20*G20</f>
        <v>36</v>
      </c>
    </row>
    <row r="21" spans="2:22" ht="20.149999999999999" customHeight="1" x14ac:dyDescent="0.45">
      <c r="B21" s="58">
        <v>520790</v>
      </c>
      <c r="C21" s="212" t="str">
        <f>VLOOKUP(B21,'Sales Master'!A$3:B$537,2,0)</f>
        <v>P6005</v>
      </c>
      <c r="D21" s="487" t="str">
        <f>VLOOKUP(C21,'Sales Master'!B$3:D$537,2,)</f>
        <v>Yam 芋头</v>
      </c>
      <c r="E21" s="487"/>
      <c r="F21" s="487"/>
      <c r="G21" s="76">
        <v>3</v>
      </c>
      <c r="H21" s="183" t="str">
        <f>VLOOKUP(C21,'Sales Master'!$B$3:$F$2420,5,0)</f>
        <v>1 KG</v>
      </c>
      <c r="I21" s="513" t="str">
        <f>VLOOKUP(C21,'Sales Master'!$B$3:$E$2420,4,0)</f>
        <v>Malaysia</v>
      </c>
      <c r="J21" s="513"/>
      <c r="K21" s="83">
        <f>VLOOKUP(C21,'Sales Master'!B$3:I$537,8,0)</f>
        <v>4</v>
      </c>
      <c r="L21" s="84">
        <f>K21*G21</f>
        <v>12</v>
      </c>
      <c r="N21" s="145"/>
      <c r="O21" s="145"/>
      <c r="P21" s="145"/>
      <c r="Q21" s="170"/>
      <c r="R21" s="93"/>
    </row>
    <row r="22" spans="2:22" ht="20.149999999999999" customHeight="1" x14ac:dyDescent="0.45">
      <c r="B22" s="58">
        <v>520792</v>
      </c>
      <c r="C22" s="212" t="str">
        <f>VLOOKUP(B22,'Sales Master'!A$3:B$537,2,0)</f>
        <v>P6014</v>
      </c>
      <c r="D22" s="487" t="str">
        <f>VLOOKUP(C22,'Sales Master'!B$3:D$537,2,)</f>
        <v>Yu Tiao 油条</v>
      </c>
      <c r="E22" s="487"/>
      <c r="F22" s="487"/>
      <c r="G22" s="76">
        <v>2</v>
      </c>
      <c r="H22" s="183" t="str">
        <f>VLOOKUP(C22,'Sales Master'!$B$3:$F$2420,5,0)</f>
        <v>10 PCS/PKT</v>
      </c>
      <c r="I22" s="513" t="str">
        <f>VLOOKUP(C22,'Sales Master'!$B$3:$E$2420,4,0)</f>
        <v>-</v>
      </c>
      <c r="J22" s="513"/>
      <c r="K22" s="83">
        <f>VLOOKUP(C22,'Sales Master'!B$3:I$537,8,0)</f>
        <v>5.5</v>
      </c>
      <c r="L22" s="84">
        <f>K22*G22</f>
        <v>11</v>
      </c>
    </row>
    <row r="23" spans="2:22" ht="20.149999999999999" customHeight="1" x14ac:dyDescent="0.45">
      <c r="B23" s="29"/>
      <c r="C23" s="212"/>
      <c r="D23" s="487"/>
      <c r="E23" s="487"/>
      <c r="F23" s="487"/>
      <c r="G23" s="76"/>
      <c r="H23" s="183"/>
      <c r="I23" s="513"/>
      <c r="J23" s="513"/>
      <c r="K23" s="575"/>
      <c r="L23" s="576"/>
    </row>
    <row r="24" spans="2:22" ht="20.149999999999999" customHeight="1" x14ac:dyDescent="0.45">
      <c r="B24" s="29"/>
      <c r="C24" s="212"/>
      <c r="D24" s="487"/>
      <c r="E24" s="487"/>
      <c r="F24" s="487"/>
      <c r="G24" s="76"/>
      <c r="H24" s="183"/>
      <c r="I24" s="513"/>
      <c r="J24" s="513"/>
      <c r="K24" s="83"/>
      <c r="L24" s="84"/>
      <c r="N24" s="145"/>
      <c r="O24" s="145"/>
      <c r="P24" s="145"/>
      <c r="Q24" s="170"/>
      <c r="R24" s="93"/>
    </row>
    <row r="25" spans="2:22" ht="20.149999999999999" customHeight="1" x14ac:dyDescent="0.45">
      <c r="B25" s="29"/>
      <c r="C25" s="212"/>
      <c r="D25" s="487"/>
      <c r="E25" s="487"/>
      <c r="F25" s="487"/>
      <c r="G25" s="76"/>
      <c r="H25" s="183"/>
      <c r="I25" s="513"/>
      <c r="J25" s="513"/>
      <c r="K25" s="83"/>
      <c r="L25" s="84"/>
      <c r="N25" s="145"/>
      <c r="O25" s="145"/>
      <c r="P25" s="145"/>
      <c r="Q25" s="170"/>
      <c r="R25" s="93"/>
    </row>
    <row r="26" spans="2:22" ht="20.149999999999999" customHeight="1" x14ac:dyDescent="0.45">
      <c r="B26" s="29"/>
      <c r="C26" s="212"/>
      <c r="D26" s="487"/>
      <c r="E26" s="487"/>
      <c r="F26" s="487"/>
      <c r="G26" s="76"/>
      <c r="H26" s="183"/>
      <c r="I26" s="513"/>
      <c r="J26" s="513"/>
      <c r="K26" s="83"/>
      <c r="L26" s="84"/>
      <c r="N26" s="145"/>
      <c r="O26" s="145"/>
      <c r="P26" s="145"/>
      <c r="Q26" s="170"/>
      <c r="R26" s="93"/>
    </row>
    <row r="27" spans="2:22" ht="20.149999999999999" customHeight="1" x14ac:dyDescent="0.45">
      <c r="B27" s="29"/>
      <c r="C27" s="17"/>
      <c r="D27" s="487"/>
      <c r="E27" s="487"/>
      <c r="F27" s="487"/>
      <c r="G27" s="17"/>
      <c r="H27" s="183"/>
      <c r="I27" s="513"/>
      <c r="J27" s="513"/>
      <c r="K27" s="83"/>
      <c r="L27" s="84"/>
      <c r="Q27" s="170"/>
    </row>
    <row r="28" spans="2:22" ht="20.149999999999999" customHeight="1" x14ac:dyDescent="0.45">
      <c r="B28" s="29"/>
      <c r="C28" s="17"/>
      <c r="D28" s="487"/>
      <c r="E28" s="487"/>
      <c r="F28" s="487"/>
      <c r="G28" s="76"/>
      <c r="H28" s="183"/>
      <c r="I28" s="513"/>
      <c r="J28" s="513"/>
      <c r="K28" s="83"/>
      <c r="L28" s="84"/>
      <c r="N28" s="145"/>
      <c r="O28" s="145"/>
      <c r="P28" s="145"/>
    </row>
    <row r="29" spans="2:22" ht="20.149999999999999" customHeight="1" x14ac:dyDescent="0.45">
      <c r="B29" s="29"/>
      <c r="C29" s="17"/>
      <c r="D29" s="487"/>
      <c r="E29" s="487"/>
      <c r="F29" s="487"/>
      <c r="G29" s="76"/>
      <c r="H29" s="183"/>
      <c r="I29" s="513"/>
      <c r="J29" s="513"/>
      <c r="K29" s="83"/>
      <c r="L29" s="84"/>
    </row>
    <row r="30" spans="2:22" ht="20.149999999999999" customHeight="1" x14ac:dyDescent="0.45">
      <c r="B30" s="29"/>
      <c r="C30" s="17"/>
      <c r="D30" s="487"/>
      <c r="E30" s="487"/>
      <c r="F30" s="487"/>
      <c r="G30" s="76"/>
      <c r="H30" s="183"/>
      <c r="I30" s="513"/>
      <c r="J30" s="513"/>
      <c r="K30" s="83"/>
      <c r="L30" s="84"/>
    </row>
    <row r="31" spans="2:22" ht="20.149999999999999" customHeight="1" x14ac:dyDescent="0.45">
      <c r="B31" s="29"/>
      <c r="C31" s="17"/>
      <c r="D31" s="487"/>
      <c r="E31" s="487"/>
      <c r="F31" s="487"/>
      <c r="G31" s="76"/>
      <c r="H31" s="183"/>
      <c r="I31" s="513"/>
      <c r="J31" s="513"/>
      <c r="K31" s="83"/>
      <c r="L31" s="84"/>
    </row>
    <row r="32" spans="2:22" ht="20.149999999999999" customHeight="1" x14ac:dyDescent="0.45">
      <c r="B32" s="104"/>
      <c r="C32" s="105"/>
      <c r="D32" s="514"/>
      <c r="E32" s="514"/>
      <c r="F32" s="514"/>
      <c r="G32" s="105"/>
      <c r="H32" s="105"/>
      <c r="I32" s="124"/>
      <c r="J32" s="124"/>
      <c r="K32" s="108"/>
      <c r="L32" s="125"/>
    </row>
    <row r="33" spans="2:14" ht="20.149999999999999" customHeight="1" thickBot="1" x14ac:dyDescent="0.5">
      <c r="B33" s="36"/>
      <c r="D33" s="487"/>
      <c r="E33" s="487"/>
      <c r="F33" s="487"/>
      <c r="L33" s="37"/>
    </row>
    <row r="34" spans="2:14" ht="20.149999999999999" customHeight="1" x14ac:dyDescent="0.45">
      <c r="B34" s="10" t="s">
        <v>16</v>
      </c>
      <c r="C34" s="6"/>
      <c r="G34" s="6"/>
      <c r="H34" s="6"/>
      <c r="I34" s="6"/>
      <c r="J34" s="489" t="s">
        <v>13</v>
      </c>
      <c r="K34" s="490"/>
      <c r="L34" s="38">
        <f>SUM(L18:L33)</f>
        <v>91</v>
      </c>
      <c r="M34" s="63">
        <f>SUM(P18:P32)</f>
        <v>0</v>
      </c>
      <c r="N34" s="133">
        <f>M34/L34</f>
        <v>0</v>
      </c>
    </row>
    <row r="35" spans="2:14" ht="20.149999999999999" customHeight="1" x14ac:dyDescent="0.45">
      <c r="B35" s="10" t="s">
        <v>17</v>
      </c>
      <c r="C35" s="6"/>
      <c r="D35" s="487"/>
      <c r="E35" s="487"/>
      <c r="F35" s="487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G36" s="6"/>
      <c r="H36" s="6"/>
      <c r="I36" s="6"/>
      <c r="J36" s="491" t="s">
        <v>19</v>
      </c>
      <c r="K36" s="492"/>
      <c r="L36" s="41">
        <f>L34-L35</f>
        <v>91</v>
      </c>
    </row>
    <row r="37" spans="2:14" ht="20.149999999999999" customHeight="1" x14ac:dyDescent="0.45">
      <c r="B37" s="10" t="s">
        <v>22</v>
      </c>
      <c r="C37" s="6"/>
      <c r="D37" s="514"/>
      <c r="E37" s="514"/>
      <c r="F37" s="514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8.19</v>
      </c>
    </row>
    <row r="38" spans="2:14" ht="20.149999999999999" customHeight="1" thickBot="1" x14ac:dyDescent="0.5">
      <c r="B38" s="10" t="s">
        <v>676</v>
      </c>
      <c r="C38" s="6"/>
      <c r="G38" s="6"/>
      <c r="H38" s="6"/>
      <c r="I38" s="6"/>
      <c r="J38" s="485" t="s">
        <v>21</v>
      </c>
      <c r="K38" s="486"/>
      <c r="L38" s="43">
        <f>L36+L37</f>
        <v>99.19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144" t="s">
        <v>666</v>
      </c>
      <c r="D40" s="6"/>
      <c r="E40" s="6"/>
      <c r="F40" s="6"/>
      <c r="L40" s="37"/>
    </row>
    <row r="41" spans="2:14" ht="20.149999999999999" customHeight="1" x14ac:dyDescent="0.45">
      <c r="B41" s="36"/>
      <c r="D41" s="6"/>
      <c r="E41" s="6"/>
      <c r="F41" s="6"/>
      <c r="L41" s="37"/>
    </row>
    <row r="42" spans="2:14" ht="20.149999999999999" customHeight="1" x14ac:dyDescent="0.45">
      <c r="B42" s="36"/>
      <c r="D42" s="6"/>
      <c r="E42" s="6"/>
      <c r="F42" s="6"/>
      <c r="L42" s="37"/>
    </row>
    <row r="43" spans="2:14" ht="20.149999999999999" customHeight="1" x14ac:dyDescent="0.45">
      <c r="B43" s="36"/>
      <c r="D43" s="6"/>
      <c r="E43" s="6"/>
      <c r="F43" s="6"/>
      <c r="L43" s="37"/>
    </row>
    <row r="44" spans="2:14" ht="20.149999999999999" customHeight="1" x14ac:dyDescent="0.45">
      <c r="B44" s="44"/>
      <c r="C44" s="45"/>
      <c r="D44" s="6"/>
      <c r="E44" s="6"/>
      <c r="F44" s="6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  <row r="49" spans="4:6" x14ac:dyDescent="0.45">
      <c r="D49" s="45"/>
    </row>
    <row r="51" spans="4:6" ht="19" thickBot="1" x14ac:dyDescent="0.5">
      <c r="D51" s="48"/>
      <c r="E51" s="48"/>
      <c r="F51" s="48"/>
    </row>
    <row r="1048505" spans="4:6" x14ac:dyDescent="0.45">
      <c r="D1048505" s="487"/>
      <c r="E1048505" s="487"/>
      <c r="F1048505" s="487"/>
    </row>
  </sheetData>
  <mergeCells count="52">
    <mergeCell ref="I18:J18"/>
    <mergeCell ref="D17:F17"/>
    <mergeCell ref="D23:F23"/>
    <mergeCell ref="I20:J20"/>
    <mergeCell ref="I21:J21"/>
    <mergeCell ref="D20:F20"/>
    <mergeCell ref="D21:F21"/>
    <mergeCell ref="I17:J17"/>
    <mergeCell ref="I23:J23"/>
    <mergeCell ref="J38:K38"/>
    <mergeCell ref="D37:F37"/>
    <mergeCell ref="J34:K34"/>
    <mergeCell ref="J36:K36"/>
    <mergeCell ref="D19:F19"/>
    <mergeCell ref="I19:J19"/>
    <mergeCell ref="D35:F35"/>
    <mergeCell ref="I28:J28"/>
    <mergeCell ref="D32:F32"/>
    <mergeCell ref="D33:F33"/>
    <mergeCell ref="D22:F22"/>
    <mergeCell ref="I22:J22"/>
    <mergeCell ref="I24:J24"/>
    <mergeCell ref="I25:J25"/>
    <mergeCell ref="D24:F24"/>
    <mergeCell ref="D25:F25"/>
    <mergeCell ref="D26:F26"/>
    <mergeCell ref="D28:F2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8:F18"/>
    <mergeCell ref="D30:F30"/>
    <mergeCell ref="D1048505:F1048505"/>
    <mergeCell ref="D27:F27"/>
    <mergeCell ref="D29:F29"/>
    <mergeCell ref="D31:F31"/>
    <mergeCell ref="K23:L23"/>
    <mergeCell ref="I30:J30"/>
    <mergeCell ref="I31:J31"/>
    <mergeCell ref="I26:J26"/>
    <mergeCell ref="I27:J27"/>
    <mergeCell ref="I29:J29"/>
  </mergeCells>
  <conditionalFormatting sqref="C18:C22">
    <cfRule type="duplicateValues" dxfId="96" priority="1"/>
  </conditionalFormatting>
  <conditionalFormatting sqref="C28 C24:C25">
    <cfRule type="duplicateValues" dxfId="95" priority="2314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AC3B4-8ADB-47C9-B208-1474F6F6BD36}">
  <sheetPr>
    <tabColor rgb="FF7030A0"/>
    <pageSetUpPr fitToPage="1"/>
  </sheetPr>
  <dimension ref="B1:V44"/>
  <sheetViews>
    <sheetView topLeftCell="A29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7" width="12.54296875" style="179"/>
    <col min="18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1169</v>
      </c>
      <c r="J10" s="24" t="s">
        <v>27</v>
      </c>
      <c r="K10" s="464">
        <v>202411195</v>
      </c>
      <c r="L10" s="465"/>
    </row>
    <row r="11" spans="2:12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 xml:space="preserve">FOOD REPUBLIC PTE LTD                        Wisma Atria Orchard@Juice Bar.          435 Orchard Road #04-02                Wisma Atria, Singapore 238877                           </v>
      </c>
      <c r="G11" s="470"/>
      <c r="H11" s="471"/>
      <c r="J11" s="26" t="s">
        <v>9</v>
      </c>
      <c r="K11" s="478">
        <v>45604</v>
      </c>
      <c r="L11" s="479"/>
    </row>
    <row r="12" spans="2:12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180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/>
      <c r="C18" s="212" t="s">
        <v>698</v>
      </c>
      <c r="D18" s="487" t="str">
        <f>VLOOKUP(C18,'Sales Master'!B$3:D$537,2,)</f>
        <v xml:space="preserve">Fresh Soursop 红毛榴莲 </v>
      </c>
      <c r="E18" s="487"/>
      <c r="F18" s="487"/>
      <c r="G18" s="76">
        <v>2</v>
      </c>
      <c r="H18" s="183" t="str">
        <f>VLOOKUP(C18,'Sales Master'!$B$3:$F$2420,5,0)</f>
        <v>GW:5 KG/ Tub桶</v>
      </c>
      <c r="I18" s="513" t="str">
        <f>VLOOKUP(C18,'Sales Master'!$B$3:$E$2420,4,0)</f>
        <v>DO!</v>
      </c>
      <c r="J18" s="513"/>
      <c r="K18" s="83">
        <f>VLOOKUP(C18,'Sales Master'!B$3:I$537,8,0)</f>
        <v>34</v>
      </c>
      <c r="L18" s="84">
        <f>K18*G18</f>
        <v>68</v>
      </c>
      <c r="N18" s="145">
        <f>VLOOKUP(C18,'Sales Master'!$B$3:$DA$2279,104,0)</f>
        <v>25.63</v>
      </c>
      <c r="O18" s="145">
        <f>K18-N18</f>
        <v>8.370000000000001</v>
      </c>
      <c r="P18" s="145">
        <f>O18*G18</f>
        <v>16.740000000000002</v>
      </c>
      <c r="Q18" s="181"/>
      <c r="R18" s="93">
        <v>1</v>
      </c>
      <c r="S18" s="93" t="s">
        <v>200</v>
      </c>
      <c r="T18" s="93" t="s">
        <v>429</v>
      </c>
      <c r="U18" s="93"/>
      <c r="V18" s="93">
        <v>32</v>
      </c>
    </row>
    <row r="19" spans="2:22" ht="20.149999999999999" customHeight="1" x14ac:dyDescent="0.45">
      <c r="B19" s="58"/>
      <c r="C19" s="212"/>
      <c r="D19" s="487"/>
      <c r="E19" s="487"/>
      <c r="F19" s="487"/>
      <c r="G19" s="76"/>
      <c r="H19" s="183"/>
      <c r="I19" s="513"/>
      <c r="J19" s="513"/>
      <c r="K19" s="83"/>
      <c r="L19" s="84"/>
      <c r="N19" s="145"/>
      <c r="O19" s="145"/>
      <c r="P19" s="145"/>
      <c r="Q19" s="181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87"/>
      <c r="E20" s="487"/>
      <c r="F20" s="487"/>
      <c r="G20" s="76"/>
      <c r="H20" s="82"/>
      <c r="I20" s="447"/>
      <c r="J20" s="447"/>
      <c r="K20" s="83"/>
      <c r="L20" s="96"/>
    </row>
    <row r="21" spans="2:22" ht="20.149999999999999" customHeight="1" x14ac:dyDescent="0.45">
      <c r="B21" s="29"/>
      <c r="C21" s="17"/>
      <c r="D21" s="487"/>
      <c r="E21" s="487"/>
      <c r="F21" s="487"/>
      <c r="G21" s="76"/>
      <c r="H21" s="56"/>
      <c r="I21" s="494"/>
      <c r="J21" s="494"/>
      <c r="K21" s="30"/>
      <c r="L21" s="31"/>
    </row>
    <row r="22" spans="2:22" ht="20.149999999999999" customHeight="1" x14ac:dyDescent="0.45">
      <c r="B22" s="29"/>
      <c r="C22" s="17"/>
      <c r="D22" s="487"/>
      <c r="E22" s="487"/>
      <c r="F22" s="487"/>
      <c r="G22" s="76"/>
      <c r="H22" s="56"/>
      <c r="I22" s="494"/>
      <c r="J22" s="494"/>
      <c r="K22" s="30"/>
      <c r="L22" s="31"/>
    </row>
    <row r="23" spans="2:22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31"/>
    </row>
    <row r="24" spans="2:22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31"/>
    </row>
    <row r="25" spans="2:22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31"/>
    </row>
    <row r="26" spans="2:22" ht="20.149999999999999" customHeight="1" x14ac:dyDescent="0.45">
      <c r="B26" s="29"/>
      <c r="C26" s="17"/>
      <c r="D26" s="487"/>
      <c r="E26" s="487"/>
      <c r="F26" s="487"/>
      <c r="G26" s="76"/>
      <c r="H26" s="56"/>
      <c r="I26" s="494"/>
      <c r="J26" s="494"/>
      <c r="K26" s="30"/>
      <c r="L26" s="31"/>
    </row>
    <row r="27" spans="2:22" ht="20.149999999999999" customHeight="1" x14ac:dyDescent="0.45">
      <c r="B27" s="29"/>
      <c r="C27" s="18" t="s">
        <v>1218</v>
      </c>
      <c r="D27" s="18"/>
      <c r="E27" s="18"/>
      <c r="F27" s="18"/>
      <c r="G27" s="18"/>
      <c r="H27" s="56"/>
      <c r="I27" s="56"/>
      <c r="J27" s="56"/>
      <c r="K27" s="150"/>
      <c r="L27" s="31"/>
    </row>
    <row r="28" spans="2:22" ht="20.149999999999999" customHeight="1" x14ac:dyDescent="0.45">
      <c r="B28" s="29"/>
      <c r="C28" s="147" t="s">
        <v>2183</v>
      </c>
      <c r="G28" s="76"/>
      <c r="H28" s="56"/>
      <c r="I28" s="85"/>
      <c r="J28" s="85"/>
      <c r="K28" s="150"/>
      <c r="L28" s="31"/>
    </row>
    <row r="29" spans="2:22" ht="20.149999999999999" customHeight="1" x14ac:dyDescent="0.45">
      <c r="B29" s="29"/>
      <c r="C29" s="17"/>
      <c r="G29" s="76"/>
      <c r="H29" s="56"/>
      <c r="I29" s="56"/>
      <c r="J29" s="56"/>
      <c r="K29" s="30"/>
      <c r="L29" s="31"/>
    </row>
    <row r="30" spans="2:22" ht="20.149999999999999" customHeight="1" x14ac:dyDescent="0.45">
      <c r="B30" s="104"/>
      <c r="C30" s="105"/>
      <c r="D30" s="514"/>
      <c r="E30" s="514"/>
      <c r="F30" s="514"/>
      <c r="G30" s="105"/>
      <c r="H30" s="105"/>
      <c r="I30" s="124"/>
      <c r="J30" s="124"/>
      <c r="K30" s="108"/>
      <c r="L30" s="12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89" t="s">
        <v>13</v>
      </c>
      <c r="K32" s="490"/>
      <c r="L32" s="38">
        <f>SUM(L18:L31)</f>
        <v>68</v>
      </c>
      <c r="M32" s="179">
        <f>SUM(P18:P30)</f>
        <v>16.740000000000002</v>
      </c>
      <c r="N32" s="133">
        <f>M32/L32</f>
        <v>0.24617647058823533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91" t="s">
        <v>19</v>
      </c>
      <c r="K34" s="492"/>
      <c r="L34" s="41">
        <f>L32-L33</f>
        <v>68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6.12</v>
      </c>
    </row>
    <row r="36" spans="2:12" ht="20.149999999999999" customHeight="1" thickBot="1" x14ac:dyDescent="0.5">
      <c r="B36" s="10" t="s">
        <v>676</v>
      </c>
      <c r="C36" s="6"/>
      <c r="D36" s="6"/>
      <c r="E36" s="6"/>
      <c r="F36" s="6"/>
      <c r="G36" s="6"/>
      <c r="H36" s="6"/>
      <c r="I36" s="6"/>
      <c r="J36" s="485" t="s">
        <v>21</v>
      </c>
      <c r="K36" s="486"/>
      <c r="L36" s="43">
        <f>L34+L35</f>
        <v>74.12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666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30:F30"/>
    <mergeCell ref="J32:K32"/>
    <mergeCell ref="J34:K34"/>
    <mergeCell ref="J36:K36"/>
    <mergeCell ref="D25:F25"/>
    <mergeCell ref="I25:J25"/>
    <mergeCell ref="D26:F26"/>
    <mergeCell ref="I26:J26"/>
  </mergeCells>
  <pageMargins left="0.70866141732283505" right="0.31496062992126" top="0.59055118110236204" bottom="0" header="0.31496062992126" footer="0.31496062992126"/>
  <pageSetup paperSize="9" scale="76" orientation="portrait" horizontalDpi="300" verticalDpi="300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BE24A-0FDB-411A-92AE-C6B2FF5107B4}">
  <sheetPr codeName="Sheet195">
    <tabColor rgb="FFFFCC66"/>
    <pageSetUpPr fitToPage="1"/>
  </sheetPr>
  <dimension ref="B1:S43"/>
  <sheetViews>
    <sheetView topLeftCell="A9" zoomScaleNormal="100" workbookViewId="0">
      <selection activeCell="C18" sqref="C18:C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7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7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7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7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7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7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7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7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7" ht="19" thickBot="1" x14ac:dyDescent="0.5">
      <c r="B9" s="18"/>
    </row>
    <row r="10" spans="2:17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1170</v>
      </c>
      <c r="J10" s="24" t="s">
        <v>27</v>
      </c>
      <c r="K10" s="464">
        <v>202504222</v>
      </c>
      <c r="L10" s="465"/>
    </row>
    <row r="11" spans="2:17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 xml:space="preserve">FOOD REPUBLIC PTE LTD                             Vivo City @Juice Bar #20                              1, Harbourfront Walk #03-01, VivoCity   Singapore 098585                           </v>
      </c>
      <c r="G11" s="470"/>
      <c r="H11" s="471"/>
      <c r="J11" s="26" t="s">
        <v>9</v>
      </c>
      <c r="K11" s="478">
        <v>45756</v>
      </c>
      <c r="L11" s="479"/>
    </row>
    <row r="12" spans="2:17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>
        <v>4500362259</v>
      </c>
      <c r="L12" s="483"/>
    </row>
    <row r="13" spans="2:17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7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  <c r="N14" s="19" t="s">
        <v>892</v>
      </c>
    </row>
    <row r="15" spans="2:17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  <c r="N15" s="17" t="s">
        <v>1158</v>
      </c>
      <c r="O15" s="487" t="e">
        <f>VLOOKUP(N15,'Sales Master'!M$3:O$537,2,)</f>
        <v>#N/A</v>
      </c>
      <c r="P15" s="487"/>
      <c r="Q15" s="487"/>
    </row>
    <row r="16" spans="2:17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417"/>
      <c r="O17" s="417"/>
      <c r="P17" s="417"/>
    </row>
    <row r="18" spans="2:19" ht="20.149999999999999" customHeight="1" x14ac:dyDescent="0.45">
      <c r="B18" s="58">
        <v>520740</v>
      </c>
      <c r="C18" s="212" t="str">
        <f>VLOOKUP(B18,'Sales Master'!A$3:B$537,2,0)</f>
        <v>M1037A</v>
      </c>
      <c r="D18" s="487" t="str">
        <f>VLOOKUP(C18,'Sales Master'!B$3:D$537,2,)</f>
        <v>Rock Sugar Syrup 冰糖浆</v>
      </c>
      <c r="E18" s="487"/>
      <c r="F18" s="487"/>
      <c r="G18" s="76">
        <v>15</v>
      </c>
      <c r="H18" s="183" t="str">
        <f>VLOOKUP(C18,'Sales Master'!$B$3:$F$2420,5,0)</f>
        <v>5 KG</v>
      </c>
      <c r="I18" s="513" t="str">
        <f>VLOOKUP(C18,'Sales Master'!$B$3:$E$2420,4,0)</f>
        <v>DO!</v>
      </c>
      <c r="J18" s="513"/>
      <c r="K18" s="83">
        <f>VLOOKUP(C18,'Sales Master'!B$3:I$537,8,0)</f>
        <v>11</v>
      </c>
      <c r="L18" s="84">
        <f t="shared" ref="L18" si="0">K18*G18</f>
        <v>165</v>
      </c>
      <c r="N18" s="145"/>
      <c r="O18" s="145"/>
      <c r="P18" s="145"/>
    </row>
    <row r="19" spans="2:19" ht="20.149999999999999" customHeight="1" x14ac:dyDescent="0.45">
      <c r="B19" s="58">
        <v>520745</v>
      </c>
      <c r="C19" s="212" t="str">
        <f>VLOOKUP(B19,'Sales Master'!A$3:B$537,2,0)</f>
        <v>P3044</v>
      </c>
      <c r="D19" s="487" t="str">
        <f>VLOOKUP(C19,'Sales Master'!B$3:D$537,2,)</f>
        <v>Sour Plum 酸梅(无子)</v>
      </c>
      <c r="E19" s="487"/>
      <c r="F19" s="487"/>
      <c r="G19" s="76">
        <v>3</v>
      </c>
      <c r="H19" s="183" t="str">
        <f>VLOOKUP(C19,'Sales Master'!$B$3:$F$2420,5,0)</f>
        <v>1 kg</v>
      </c>
      <c r="I19" s="513" t="str">
        <f>VLOOKUP(C19,'Sales Master'!$B$3:$E$2420,4,0)</f>
        <v>-</v>
      </c>
      <c r="J19" s="513"/>
      <c r="K19" s="83">
        <f>VLOOKUP(C19,'Sales Master'!B$3:I$537,8,0)</f>
        <v>19</v>
      </c>
      <c r="L19" s="84">
        <f>K19*G19</f>
        <v>57</v>
      </c>
      <c r="N19" s="145"/>
      <c r="O19" s="145"/>
      <c r="P19" s="145"/>
      <c r="Q19" s="170"/>
      <c r="R19" s="93"/>
      <c r="S19" s="93"/>
    </row>
    <row r="20" spans="2:19" ht="20.149999999999999" customHeight="1" x14ac:dyDescent="0.45">
      <c r="B20" s="58">
        <v>520700</v>
      </c>
      <c r="C20" s="212" t="str">
        <f>VLOOKUP(B20,'Sales Master'!A$3:B$537,2,0)</f>
        <v>P5002A</v>
      </c>
      <c r="D20" s="487" t="str">
        <f>VLOOKUP(C20,'Sales Master'!B$3:D$537,2,)</f>
        <v>Brown Sugar 黑糖</v>
      </c>
      <c r="E20" s="487"/>
      <c r="F20" s="487"/>
      <c r="G20" s="76">
        <v>1</v>
      </c>
      <c r="H20" s="183" t="str">
        <f>VLOOKUP(C20,'Sales Master'!$B$3:$F$2420,5,0)</f>
        <v>6 KG</v>
      </c>
      <c r="I20" s="513" t="str">
        <f>VLOOKUP(C20,'Sales Master'!$B$3:$E$2420,4,0)</f>
        <v>Star</v>
      </c>
      <c r="J20" s="513"/>
      <c r="K20" s="83">
        <f>VLOOKUP(C20,'Sales Master'!B$3:I$537,8,0)</f>
        <v>17</v>
      </c>
      <c r="L20" s="84">
        <f t="shared" ref="L20:L21" si="1">K20*G20</f>
        <v>17</v>
      </c>
      <c r="N20" s="145"/>
      <c r="O20" s="145"/>
      <c r="P20" s="145"/>
    </row>
    <row r="21" spans="2:19" ht="20.149999999999999" customHeight="1" x14ac:dyDescent="0.45">
      <c r="B21" s="58">
        <v>520706</v>
      </c>
      <c r="C21" s="212" t="str">
        <f>VLOOKUP(B21,'Sales Master'!A$3:B$537,2,0)</f>
        <v>P5008</v>
      </c>
      <c r="D21" s="487" t="str">
        <f>VLOOKUP(C21,'Sales Master'!B$3:D$537,2,)</f>
        <v>Coconut Sugar 椰糖</v>
      </c>
      <c r="E21" s="487"/>
      <c r="F21" s="487"/>
      <c r="G21" s="76">
        <v>1</v>
      </c>
      <c r="H21" s="183" t="str">
        <f>VLOOKUP(C21,'Sales Master'!$B$3:$F$2420,5,0)</f>
        <v>10 KG/ ctn</v>
      </c>
      <c r="I21" s="513" t="str">
        <f>VLOOKUP(C21,'Sales Master'!$B$3:$E$2420,4,0)</f>
        <v>BL BRAND</v>
      </c>
      <c r="J21" s="513"/>
      <c r="K21" s="83">
        <f>VLOOKUP(C21,'Sales Master'!B$3:I$537,8,0)</f>
        <v>35</v>
      </c>
      <c r="L21" s="84">
        <f t="shared" si="1"/>
        <v>35</v>
      </c>
      <c r="N21" s="145"/>
      <c r="O21" s="145"/>
      <c r="P21" s="145"/>
    </row>
    <row r="22" spans="2:19" ht="20.149999999999999" customHeight="1" x14ac:dyDescent="0.45">
      <c r="B22" s="58"/>
      <c r="C22" s="212"/>
      <c r="G22" s="76"/>
      <c r="H22" s="183"/>
      <c r="I22" s="209"/>
      <c r="J22" s="209"/>
      <c r="K22" s="83"/>
      <c r="L22" s="84"/>
      <c r="N22" s="145"/>
      <c r="O22" s="145"/>
      <c r="P22" s="145"/>
    </row>
    <row r="23" spans="2:19" ht="20.149999999999999" customHeight="1" x14ac:dyDescent="0.45">
      <c r="B23" s="58"/>
      <c r="C23" s="212"/>
      <c r="G23" s="76"/>
      <c r="H23" s="183"/>
      <c r="I23" s="209"/>
      <c r="J23" s="209"/>
      <c r="K23" s="83"/>
      <c r="L23" s="84"/>
      <c r="N23" s="145"/>
      <c r="O23" s="145"/>
      <c r="P23" s="145"/>
    </row>
    <row r="24" spans="2:19" ht="20.149999999999999" customHeight="1" x14ac:dyDescent="0.45">
      <c r="B24" s="29"/>
      <c r="C24" s="212"/>
      <c r="D24" s="487"/>
      <c r="E24" s="487"/>
      <c r="F24" s="487"/>
      <c r="G24" s="76"/>
      <c r="H24" s="183"/>
      <c r="I24" s="513"/>
      <c r="J24" s="513"/>
      <c r="K24" s="83"/>
      <c r="L24" s="84"/>
      <c r="N24" s="145"/>
      <c r="O24" s="145"/>
      <c r="P24" s="145"/>
    </row>
    <row r="25" spans="2:19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31"/>
    </row>
    <row r="26" spans="2:19" ht="20.149999999999999" customHeight="1" x14ac:dyDescent="0.45">
      <c r="B26" s="29"/>
      <c r="C26" s="17"/>
      <c r="D26" s="487"/>
      <c r="E26" s="487"/>
      <c r="F26" s="487"/>
      <c r="G26" s="76"/>
      <c r="H26" s="56"/>
      <c r="I26" s="494"/>
      <c r="J26" s="494"/>
      <c r="K26" s="30"/>
      <c r="L26" s="31"/>
    </row>
    <row r="27" spans="2:19" ht="20.149999999999999" customHeight="1" x14ac:dyDescent="0.45">
      <c r="B27" s="29"/>
      <c r="C27" s="17"/>
      <c r="D27" s="487"/>
      <c r="E27" s="487"/>
      <c r="F27" s="487"/>
      <c r="G27" s="76"/>
      <c r="H27" s="56"/>
      <c r="I27" s="494"/>
      <c r="J27" s="494"/>
      <c r="K27" s="30"/>
      <c r="L27" s="31"/>
    </row>
    <row r="28" spans="2:19" ht="20.149999999999999" customHeight="1" x14ac:dyDescent="0.45">
      <c r="B28" s="104"/>
      <c r="C28" s="105"/>
      <c r="D28" s="514"/>
      <c r="E28" s="514"/>
      <c r="F28" s="514"/>
      <c r="G28" s="105"/>
      <c r="H28" s="105"/>
      <c r="I28" s="124"/>
      <c r="J28" s="124"/>
      <c r="K28" s="108"/>
      <c r="L28" s="12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SUM(L18:L29)</f>
        <v>274</v>
      </c>
      <c r="M30" s="63"/>
      <c r="N30" s="133">
        <f>M30/L30</f>
        <v>0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274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24.66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298.66000000000003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666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20.5" x14ac:dyDescent="0.45">
      <c r="F43" s="202"/>
    </row>
  </sheetData>
  <mergeCells count="36">
    <mergeCell ref="O15:Q15"/>
    <mergeCell ref="D18:F18"/>
    <mergeCell ref="I18:J18"/>
    <mergeCell ref="D27:F27"/>
    <mergeCell ref="I27:J27"/>
    <mergeCell ref="I17:J17"/>
    <mergeCell ref="D19:F19"/>
    <mergeCell ref="I19:J19"/>
    <mergeCell ref="D17:F17"/>
    <mergeCell ref="D24:F24"/>
    <mergeCell ref="D20:F20"/>
    <mergeCell ref="I24:J24"/>
    <mergeCell ref="I20:J20"/>
    <mergeCell ref="D21:F21"/>
    <mergeCell ref="I21:J21"/>
    <mergeCell ref="J34:K34"/>
    <mergeCell ref="D28:F28"/>
    <mergeCell ref="J30:K30"/>
    <mergeCell ref="J32:K32"/>
    <mergeCell ref="D25:F25"/>
    <mergeCell ref="I25:J25"/>
    <mergeCell ref="D26:F26"/>
    <mergeCell ref="I26:J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23">
    <cfRule type="duplicateValues" dxfId="94" priority="2757"/>
  </conditionalFormatting>
  <conditionalFormatting sqref="C24">
    <cfRule type="duplicateValues" dxfId="93" priority="2537"/>
  </conditionalFormatting>
  <conditionalFormatting sqref="C25">
    <cfRule type="duplicateValues" dxfId="92" priority="4"/>
  </conditionalFormatting>
  <conditionalFormatting sqref="C26">
    <cfRule type="duplicateValues" dxfId="91" priority="3"/>
  </conditionalFormatting>
  <conditionalFormatting sqref="N15">
    <cfRule type="duplicateValues" dxfId="90" priority="2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E8DBD-84BA-4B8D-A6BF-5E4D5986340F}">
  <sheetPr codeName="Sheet192">
    <tabColor rgb="FFFFC000"/>
    <pageSetUpPr fitToPage="1"/>
  </sheetPr>
  <dimension ref="B1:V39"/>
  <sheetViews>
    <sheetView topLeftCell="A2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1171</v>
      </c>
      <c r="J10" s="24" t="s">
        <v>27</v>
      </c>
      <c r="K10" s="464">
        <v>202501045</v>
      </c>
      <c r="L10" s="465"/>
    </row>
    <row r="11" spans="2:14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 xml:space="preserve">FOOD REPUBLIC PTE LTD                            Causeway Point @Juice Bar, Woodlands Square #04-01 Causeway Point Singapore 738099                                                        </v>
      </c>
      <c r="G11" s="470"/>
      <c r="H11" s="471"/>
      <c r="J11" s="26" t="s">
        <v>9</v>
      </c>
      <c r="K11" s="478">
        <v>45659</v>
      </c>
      <c r="L11" s="479"/>
    </row>
    <row r="12" spans="2:14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4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892</v>
      </c>
    </row>
    <row r="14" spans="2:14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  <c r="N14" s="19" t="s">
        <v>698</v>
      </c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/>
      <c r="C18" s="212" t="s">
        <v>892</v>
      </c>
      <c r="D18" s="487" t="str">
        <f>VLOOKUP(C18,'Sales Master'!B$3:D$537,2,)</f>
        <v>Sour Plum 酸梅(无子)</v>
      </c>
      <c r="E18" s="487"/>
      <c r="F18" s="487"/>
      <c r="G18" s="76">
        <v>1</v>
      </c>
      <c r="H18" s="183" t="str">
        <f>VLOOKUP(C18,'Sales Master'!$B$3:$F$2420,5,0)</f>
        <v>1 kg</v>
      </c>
      <c r="I18" s="513" t="str">
        <f>VLOOKUP(C18,'Sales Master'!$B$3:$E$2420,4,0)</f>
        <v>-</v>
      </c>
      <c r="J18" s="513"/>
      <c r="K18" s="83">
        <f>VLOOKUP(C18,'Sales Master'!B$3:I$537,8,0)</f>
        <v>19</v>
      </c>
      <c r="L18" s="84">
        <f>K18*G18</f>
        <v>19</v>
      </c>
      <c r="N18" s="145">
        <f>VLOOKUP(C18,'Sales Master'!$B$3:$DA$2279,104,0)</f>
        <v>14.533333333333333</v>
      </c>
      <c r="O18" s="145">
        <f>K18-N18</f>
        <v>4.4666666666666668</v>
      </c>
      <c r="P18" s="145">
        <f>O18*G18</f>
        <v>4.4666666666666668</v>
      </c>
      <c r="Q18" s="170"/>
      <c r="R18" s="93"/>
      <c r="S18" s="93" t="s">
        <v>200</v>
      </c>
      <c r="T18" s="93" t="s">
        <v>429</v>
      </c>
      <c r="U18" s="93"/>
      <c r="V18" s="93">
        <v>32</v>
      </c>
    </row>
    <row r="19" spans="2:22" ht="20.149999999999999" customHeight="1" x14ac:dyDescent="0.45">
      <c r="B19" s="58"/>
      <c r="C19" s="212"/>
      <c r="D19" s="487"/>
      <c r="E19" s="487"/>
      <c r="F19" s="487"/>
      <c r="G19" s="76"/>
      <c r="H19" s="183"/>
      <c r="I19" s="513"/>
      <c r="J19" s="513"/>
      <c r="K19" s="83"/>
      <c r="L19" s="84"/>
      <c r="N19" s="145"/>
      <c r="O19" s="145"/>
      <c r="P19" s="145"/>
      <c r="Q19" s="170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87"/>
      <c r="E20" s="487"/>
      <c r="F20" s="487"/>
      <c r="G20" s="76"/>
      <c r="H20" s="56"/>
      <c r="I20" s="494"/>
      <c r="J20" s="494"/>
      <c r="K20" s="30"/>
      <c r="L20" s="31"/>
    </row>
    <row r="21" spans="2:22" ht="20.149999999999999" customHeight="1" x14ac:dyDescent="0.45">
      <c r="B21" s="29"/>
      <c r="C21" s="17"/>
      <c r="D21" s="487"/>
      <c r="E21" s="487"/>
      <c r="F21" s="487"/>
      <c r="G21" s="76"/>
      <c r="H21" s="56"/>
      <c r="I21" s="494"/>
      <c r="J21" s="494"/>
      <c r="K21" s="30"/>
      <c r="L21" s="31"/>
    </row>
    <row r="22" spans="2:22" ht="20.149999999999999" customHeight="1" x14ac:dyDescent="0.45">
      <c r="B22" s="29"/>
      <c r="C22" s="17"/>
      <c r="D22" s="487"/>
      <c r="E22" s="487"/>
      <c r="F22" s="487"/>
      <c r="G22" s="76"/>
      <c r="H22" s="56"/>
      <c r="I22" s="494"/>
      <c r="J22" s="494"/>
      <c r="K22" s="30"/>
      <c r="L22" s="31"/>
    </row>
    <row r="23" spans="2:22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31"/>
    </row>
    <row r="24" spans="2:22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31"/>
    </row>
    <row r="25" spans="2:22" ht="20.149999999999999" customHeight="1" x14ac:dyDescent="0.45">
      <c r="B25" s="104"/>
      <c r="C25" s="105"/>
      <c r="D25" s="514"/>
      <c r="E25" s="514"/>
      <c r="F25" s="514"/>
      <c r="G25" s="105"/>
      <c r="H25" s="105"/>
      <c r="I25" s="124"/>
      <c r="J25" s="124"/>
      <c r="K25" s="108"/>
      <c r="L25" s="125"/>
    </row>
    <row r="26" spans="2:22" ht="20.149999999999999" customHeight="1" thickBot="1" x14ac:dyDescent="0.5">
      <c r="B26" s="36"/>
      <c r="L26" s="37"/>
    </row>
    <row r="27" spans="2:22" ht="20.149999999999999" customHeight="1" x14ac:dyDescent="0.45">
      <c r="B27" s="10" t="s">
        <v>16</v>
      </c>
      <c r="C27" s="6"/>
      <c r="D27" s="6"/>
      <c r="E27" s="6"/>
      <c r="F27" s="6"/>
      <c r="G27" s="6"/>
      <c r="H27" s="6"/>
      <c r="I27" s="6"/>
      <c r="J27" s="489" t="s">
        <v>13</v>
      </c>
      <c r="K27" s="490"/>
      <c r="L27" s="38">
        <f>SUM(L18:L26)</f>
        <v>19</v>
      </c>
      <c r="M27" s="63">
        <f>SUM(P18:P24)</f>
        <v>4.4666666666666668</v>
      </c>
      <c r="N27" s="133">
        <f>M27/L27</f>
        <v>0.23508771929824562</v>
      </c>
    </row>
    <row r="28" spans="2:22" ht="20.149999999999999" customHeight="1" x14ac:dyDescent="0.45">
      <c r="B28" s="10" t="s">
        <v>17</v>
      </c>
      <c r="C28" s="6"/>
      <c r="D28" s="6"/>
      <c r="E28" s="6"/>
      <c r="F28" s="6"/>
      <c r="G28" s="6"/>
      <c r="H28" s="6"/>
      <c r="I28" s="6"/>
      <c r="J28" s="39" t="s">
        <v>20</v>
      </c>
      <c r="K28" s="40"/>
      <c r="L28" s="41">
        <f>L27*K28</f>
        <v>0</v>
      </c>
    </row>
    <row r="29" spans="2:22" ht="20.149999999999999" customHeight="1" x14ac:dyDescent="0.45">
      <c r="B29" s="10" t="s">
        <v>18</v>
      </c>
      <c r="C29" s="6"/>
      <c r="D29" s="6"/>
      <c r="E29" s="6"/>
      <c r="F29" s="6"/>
      <c r="G29" s="6"/>
      <c r="H29" s="6"/>
      <c r="I29" s="6"/>
      <c r="J29" s="491" t="s">
        <v>19</v>
      </c>
      <c r="K29" s="492"/>
      <c r="L29" s="41">
        <f>L27-L28</f>
        <v>19</v>
      </c>
    </row>
    <row r="30" spans="2:22" ht="20.149999999999999" customHeight="1" x14ac:dyDescent="0.45">
      <c r="B30" s="10" t="s">
        <v>22</v>
      </c>
      <c r="C30" s="6"/>
      <c r="D30" s="6"/>
      <c r="E30" s="6"/>
      <c r="F30" s="6"/>
      <c r="G30" s="6"/>
      <c r="H30" s="6"/>
      <c r="I30" s="6"/>
      <c r="J30" s="102" t="s">
        <v>15</v>
      </c>
      <c r="K30" s="103">
        <f>'Sales Master'!$B$1</f>
        <v>0.09</v>
      </c>
      <c r="L30" s="42">
        <f>L29*K30</f>
        <v>1.71</v>
      </c>
    </row>
    <row r="31" spans="2:22" ht="20.149999999999999" customHeight="1" thickBot="1" x14ac:dyDescent="0.5">
      <c r="B31" s="10" t="s">
        <v>676</v>
      </c>
      <c r="C31" s="6"/>
      <c r="D31" s="6"/>
      <c r="E31" s="6"/>
      <c r="F31" s="6"/>
      <c r="G31" s="6"/>
      <c r="H31" s="6"/>
      <c r="I31" s="6"/>
      <c r="J31" s="485" t="s">
        <v>21</v>
      </c>
      <c r="K31" s="486"/>
      <c r="L31" s="43">
        <f>L29+L30</f>
        <v>20.71</v>
      </c>
    </row>
    <row r="32" spans="2:22" ht="20.149999999999999" customHeight="1" x14ac:dyDescent="0.45">
      <c r="B32" s="10" t="s">
        <v>24</v>
      </c>
      <c r="C32" s="6"/>
      <c r="D32" s="6"/>
      <c r="E32" s="6"/>
      <c r="F32" s="6"/>
      <c r="G32" s="6"/>
      <c r="H32" s="6"/>
      <c r="I32" s="6"/>
      <c r="L32" s="37"/>
    </row>
    <row r="33" spans="2:12" ht="20.149999999999999" customHeight="1" x14ac:dyDescent="0.45">
      <c r="B33" s="144" t="s">
        <v>666</v>
      </c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44"/>
      <c r="C37" s="45"/>
      <c r="D37" s="45"/>
      <c r="J37" s="45"/>
      <c r="K37" s="45"/>
      <c r="L37" s="46"/>
    </row>
    <row r="38" spans="2:12" ht="20.149999999999999" customHeight="1" x14ac:dyDescent="0.45">
      <c r="B38" s="36" t="s">
        <v>25</v>
      </c>
      <c r="J38" s="19" t="s">
        <v>26</v>
      </c>
      <c r="L38" s="37"/>
    </row>
    <row r="39" spans="2:12" ht="19" thickBot="1" x14ac:dyDescent="0.5"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9"/>
    </row>
  </sheetData>
  <mergeCells count="33">
    <mergeCell ref="D24:F24"/>
    <mergeCell ref="I24:J24"/>
    <mergeCell ref="J31:K31"/>
    <mergeCell ref="D25:F25"/>
    <mergeCell ref="J27:K27"/>
    <mergeCell ref="J29:K29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89" priority="1"/>
  </conditionalFormatting>
  <conditionalFormatting sqref="C19">
    <cfRule type="duplicateValues" dxfId="88" priority="2"/>
  </conditionalFormatting>
  <conditionalFormatting sqref="C20">
    <cfRule type="duplicateValues" dxfId="87" priority="5"/>
  </conditionalFormatting>
  <conditionalFormatting sqref="C21">
    <cfRule type="duplicateValues" dxfId="86" priority="6"/>
  </conditionalFormatting>
  <conditionalFormatting sqref="C22">
    <cfRule type="duplicateValues" dxfId="85" priority="4"/>
  </conditionalFormatting>
  <conditionalFormatting sqref="C23">
    <cfRule type="duplicateValues" dxfId="84" priority="3"/>
  </conditionalFormatting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8D594-4F13-4360-94EF-60CA426B95F5}">
  <sheetPr codeName="Sheet196">
    <tabColor rgb="FF7030A0"/>
    <pageSetUpPr fitToPage="1"/>
  </sheetPr>
  <dimension ref="B1:O1048308"/>
  <sheetViews>
    <sheetView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3.453125" style="19" bestFit="1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1172</v>
      </c>
      <c r="J10" s="24" t="s">
        <v>27</v>
      </c>
      <c r="K10" s="464">
        <v>202504230</v>
      </c>
      <c r="L10" s="465"/>
    </row>
    <row r="11" spans="2:12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 xml:space="preserve">FOOD REPUBLIC PTE LTD                           Somerset Orchard@Ice shop No: 17      313 Orchard Road #05-01                Singapore 238895                           </v>
      </c>
      <c r="G11" s="470"/>
      <c r="H11" s="471"/>
      <c r="J11" s="26" t="s">
        <v>9</v>
      </c>
      <c r="K11" s="478">
        <v>45756</v>
      </c>
      <c r="L11" s="479"/>
    </row>
    <row r="12" spans="2:12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>
        <v>4500363248</v>
      </c>
      <c r="L12" s="483"/>
    </row>
    <row r="13" spans="2:12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5" ht="20.149999999999999" customHeight="1" x14ac:dyDescent="0.45">
      <c r="B18" s="58">
        <v>520695</v>
      </c>
      <c r="C18" s="212" t="str">
        <f>VLOOKUP(B18,'Sales Master'!A$3:B$537,2,0)</f>
        <v>P3001B</v>
      </c>
      <c r="D18" s="487" t="str">
        <f>VLOOKUP(C18,'Sales Master'!B$3:D$537,2,)</f>
        <v>Atap Seeds in Syrup 亚嗒子</v>
      </c>
      <c r="E18" s="487"/>
      <c r="F18" s="487"/>
      <c r="G18" s="76">
        <v>2</v>
      </c>
      <c r="H18" s="183" t="str">
        <f>VLOOKUP(C18,'Sales Master'!$B$3:$F$2420,5,0)</f>
        <v>NW(1.6:0.6) 2.2kg/ Bag包</v>
      </c>
      <c r="I18" s="513" t="str">
        <f>VLOOKUP(C18,'Sales Master'!$B$3:$E$2420,4,0)</f>
        <v>DO!</v>
      </c>
      <c r="J18" s="513"/>
      <c r="K18" s="83">
        <f>VLOOKUP(C18,'Sales Master'!B$3:I$537,8,0)</f>
        <v>10</v>
      </c>
      <c r="L18" s="84">
        <f t="shared" ref="L18" si="0">K18*G18</f>
        <v>20</v>
      </c>
      <c r="N18" s="170"/>
      <c r="O18" s="93"/>
    </row>
    <row r="19" spans="2:15" ht="20.149999999999999" customHeight="1" x14ac:dyDescent="0.45">
      <c r="B19" s="58">
        <v>520785</v>
      </c>
      <c r="C19" s="212" t="str">
        <f>VLOOKUP(B19,'Sales Master'!A$3:B$537,2,0)</f>
        <v>P3012A</v>
      </c>
      <c r="D19" s="487" t="str">
        <f>VLOOKUP(C19,'Sales Master'!B$3:D$537,2,)</f>
        <v>Split Green Mung Bean 豆爽</v>
      </c>
      <c r="E19" s="487"/>
      <c r="F19" s="487"/>
      <c r="G19" s="76">
        <v>1</v>
      </c>
      <c r="H19" s="183" t="str">
        <f>VLOOKUP(C19,'Sales Master'!$B$3:$F$2420,5,0)</f>
        <v>5 KG</v>
      </c>
      <c r="I19" s="513" t="str">
        <f>VLOOKUP(C19,'Sales Master'!$B$3:$E$2420,4,0)</f>
        <v>-</v>
      </c>
      <c r="J19" s="513"/>
      <c r="K19" s="83">
        <f>VLOOKUP(C19,'Sales Master'!B$3:I$537,8,0)</f>
        <v>18</v>
      </c>
      <c r="L19" s="84">
        <f>K19*G19</f>
        <v>18</v>
      </c>
      <c r="N19" s="170"/>
      <c r="O19" s="93"/>
    </row>
    <row r="20" spans="2:15" ht="20" customHeight="1" x14ac:dyDescent="0.45">
      <c r="B20" s="58">
        <v>520698</v>
      </c>
      <c r="C20" s="212" t="str">
        <f>VLOOKUP(B20,'Sales Master'!A$3:B$537,2,0)</f>
        <v>P3013A</v>
      </c>
      <c r="D20" s="487" t="str">
        <f>VLOOKUP(C20,'Sales Master'!B$3:D$537,2,)</f>
        <v>Black Glutinous Rice 黑糯米</v>
      </c>
      <c r="E20" s="487"/>
      <c r="F20" s="487"/>
      <c r="G20" s="76">
        <v>1</v>
      </c>
      <c r="H20" s="183" t="str">
        <f>VLOOKUP(C20,'Sales Master'!$B$3:$F$2420,5,0)</f>
        <v>5 KGS</v>
      </c>
      <c r="I20" s="513" t="str">
        <f>VLOOKUP(C20,'Sales Master'!$B$3:$E$2420,4,0)</f>
        <v>-</v>
      </c>
      <c r="J20" s="513"/>
      <c r="K20" s="83">
        <f>VLOOKUP(C20,'Sales Master'!B$3:I$537,8,0)</f>
        <v>18</v>
      </c>
      <c r="L20" s="84">
        <f>K20*G20</f>
        <v>18</v>
      </c>
      <c r="N20" s="170"/>
      <c r="O20" s="93"/>
    </row>
    <row r="21" spans="2:15" ht="20.149999999999999" customHeight="1" x14ac:dyDescent="0.45">
      <c r="B21" s="58">
        <v>520724</v>
      </c>
      <c r="C21" s="212" t="str">
        <f>VLOOKUP(B21,'Sales Master'!A$3:B$537,2,0)</f>
        <v>P3009A</v>
      </c>
      <c r="D21" s="487" t="str">
        <f>VLOOKUP(C21,'Sales Master'!B$3:D$537,2,)</f>
        <v>Green Bean 绿豆</v>
      </c>
      <c r="E21" s="487"/>
      <c r="F21" s="487"/>
      <c r="G21" s="76">
        <v>1</v>
      </c>
      <c r="H21" s="183" t="str">
        <f>VLOOKUP(C21,'Sales Master'!$B$3:$F$2420,5,0)</f>
        <v>5 KG</v>
      </c>
      <c r="I21" s="513" t="str">
        <f>VLOOKUP(C21,'Sales Master'!$B$3:$E$2420,4,0)</f>
        <v>-</v>
      </c>
      <c r="J21" s="513"/>
      <c r="K21" s="83">
        <f>VLOOKUP(C21,'Sales Master'!B$3:I$537,8,0)</f>
        <v>13</v>
      </c>
      <c r="L21" s="84">
        <f t="shared" ref="L21" si="1">K21*G21</f>
        <v>13</v>
      </c>
      <c r="N21" s="170"/>
      <c r="O21" s="93"/>
    </row>
    <row r="22" spans="2:15" ht="20.149999999999999" customHeight="1" x14ac:dyDescent="0.45">
      <c r="B22" s="58">
        <v>520792</v>
      </c>
      <c r="C22" s="212" t="str">
        <f>VLOOKUP(B22,'Sales Master'!A$3:B$537,2,0)</f>
        <v>P6014</v>
      </c>
      <c r="D22" s="487" t="str">
        <f>VLOOKUP(C22,'Sales Master'!B$3:D$537,2,)</f>
        <v>Yu Tiao 油条</v>
      </c>
      <c r="E22" s="487"/>
      <c r="F22" s="487"/>
      <c r="G22" s="76">
        <v>1</v>
      </c>
      <c r="H22" s="183" t="str">
        <f>VLOOKUP(C22,'Sales Master'!$B$3:$F$2420,5,0)</f>
        <v>10 PCS/PKT</v>
      </c>
      <c r="I22" s="513" t="str">
        <f>VLOOKUP(C22,'Sales Master'!$B$3:$E$2420,4,0)</f>
        <v>-</v>
      </c>
      <c r="J22" s="513"/>
      <c r="K22" s="83">
        <f>VLOOKUP(C22,'Sales Master'!B$3:I$537,8,0)</f>
        <v>5.5</v>
      </c>
      <c r="L22" s="84">
        <f t="shared" ref="L22" si="2">K22*G22</f>
        <v>5.5</v>
      </c>
      <c r="N22" s="170"/>
    </row>
    <row r="23" spans="2:15" ht="20.149999999999999" customHeight="1" x14ac:dyDescent="0.45">
      <c r="B23" s="58"/>
      <c r="C23" s="212"/>
      <c r="D23" s="487"/>
      <c r="E23" s="487"/>
      <c r="F23" s="487"/>
      <c r="G23" s="76"/>
      <c r="H23" s="183"/>
      <c r="I23" s="513"/>
      <c r="J23" s="513"/>
      <c r="K23" s="83"/>
      <c r="L23" s="84"/>
      <c r="N23" s="170"/>
      <c r="O23" s="93"/>
    </row>
    <row r="24" spans="2:15" ht="20.149999999999999" customHeight="1" x14ac:dyDescent="0.45">
      <c r="B24" s="58"/>
      <c r="C24" s="212"/>
      <c r="D24" s="487"/>
      <c r="E24" s="487"/>
      <c r="F24" s="487"/>
      <c r="G24" s="76"/>
      <c r="H24" s="183"/>
      <c r="I24" s="513"/>
      <c r="J24" s="513"/>
      <c r="K24" s="83"/>
      <c r="L24" s="84"/>
      <c r="N24" s="170"/>
      <c r="O24" s="93"/>
    </row>
    <row r="25" spans="2:15" ht="20.149999999999999" customHeight="1" x14ac:dyDescent="0.45">
      <c r="B25" s="58"/>
      <c r="C25" s="212"/>
      <c r="D25" s="487"/>
      <c r="E25" s="487"/>
      <c r="F25" s="487"/>
      <c r="G25" s="76"/>
      <c r="H25" s="183"/>
      <c r="I25" s="513"/>
      <c r="J25" s="513"/>
      <c r="K25" s="83"/>
      <c r="L25" s="84"/>
    </row>
    <row r="26" spans="2:15" ht="20.149999999999999" customHeight="1" x14ac:dyDescent="0.45">
      <c r="B26" s="29"/>
      <c r="C26" s="246"/>
      <c r="D26" s="487"/>
      <c r="E26" s="487"/>
      <c r="F26" s="487"/>
      <c r="G26" s="76"/>
      <c r="H26" s="183"/>
      <c r="I26" s="513"/>
      <c r="J26" s="513"/>
      <c r="K26" s="83"/>
      <c r="L26" s="84"/>
      <c r="N26" s="170"/>
      <c r="O26" s="93"/>
    </row>
    <row r="27" spans="2:15" ht="20.149999999999999" customHeight="1" x14ac:dyDescent="0.45">
      <c r="B27" s="29"/>
      <c r="C27" s="246"/>
      <c r="D27" s="487"/>
      <c r="E27" s="487"/>
      <c r="F27" s="487"/>
      <c r="G27" s="76"/>
      <c r="H27" s="183"/>
      <c r="I27" s="513"/>
      <c r="J27" s="513"/>
      <c r="K27" s="83"/>
      <c r="L27" s="84"/>
      <c r="N27" s="170"/>
      <c r="O27" s="93"/>
    </row>
    <row r="28" spans="2:15" ht="20.149999999999999" customHeight="1" x14ac:dyDescent="0.45">
      <c r="B28" s="29"/>
      <c r="C28" s="246"/>
      <c r="D28" s="487"/>
      <c r="E28" s="487"/>
      <c r="F28" s="487"/>
      <c r="G28" s="76"/>
      <c r="H28" s="183"/>
      <c r="I28" s="513"/>
      <c r="J28" s="513"/>
      <c r="K28" s="83"/>
      <c r="L28" s="84"/>
      <c r="N28" s="170"/>
      <c r="O28" s="93"/>
    </row>
    <row r="29" spans="2:15" ht="20.149999999999999" customHeight="1" x14ac:dyDescent="0.45">
      <c r="B29" s="29"/>
      <c r="C29" s="246"/>
      <c r="D29" s="487"/>
      <c r="E29" s="487"/>
      <c r="F29" s="487"/>
      <c r="G29" s="76"/>
      <c r="H29" s="183"/>
      <c r="I29" s="513"/>
      <c r="J29" s="513"/>
      <c r="K29" s="83"/>
      <c r="L29" s="84"/>
      <c r="N29" s="170"/>
      <c r="O29" s="93"/>
    </row>
    <row r="30" spans="2:15" ht="20.149999999999999" customHeight="1" x14ac:dyDescent="0.45">
      <c r="B30" s="29"/>
      <c r="C30" s="212"/>
      <c r="D30" s="487"/>
      <c r="E30" s="487"/>
      <c r="F30" s="487"/>
      <c r="G30" s="76"/>
      <c r="H30" s="183"/>
      <c r="I30" s="513"/>
      <c r="J30" s="513"/>
      <c r="K30" s="83"/>
      <c r="L30" s="84"/>
    </row>
    <row r="31" spans="2:15" ht="20.149999999999999" customHeight="1" x14ac:dyDescent="0.45">
      <c r="B31" s="29"/>
      <c r="C31" s="246"/>
      <c r="D31" s="487"/>
      <c r="E31" s="487"/>
      <c r="F31" s="487"/>
      <c r="G31" s="76"/>
      <c r="H31" s="183"/>
      <c r="I31" s="513"/>
      <c r="J31" s="513"/>
      <c r="K31" s="83"/>
      <c r="L31" s="84"/>
      <c r="N31" s="170"/>
      <c r="O31" s="93"/>
    </row>
    <row r="32" spans="2:15" ht="20.149999999999999" customHeight="1" x14ac:dyDescent="0.45">
      <c r="B32" s="29"/>
      <c r="C32" s="246"/>
      <c r="D32" s="487"/>
      <c r="E32" s="487"/>
      <c r="F32" s="487"/>
      <c r="G32" s="76"/>
      <c r="H32" s="183"/>
      <c r="I32" s="513"/>
      <c r="J32" s="513"/>
      <c r="K32" s="83"/>
      <c r="L32" s="84"/>
      <c r="N32" s="170"/>
      <c r="O32" s="93"/>
    </row>
    <row r="33" spans="2:13" ht="20.149999999999999" customHeight="1" x14ac:dyDescent="0.45">
      <c r="B33" s="29"/>
      <c r="C33" s="212"/>
      <c r="G33" s="76"/>
      <c r="H33" s="183"/>
      <c r="I33" s="209"/>
      <c r="J33" s="209"/>
      <c r="K33" s="83"/>
      <c r="L33" s="84"/>
    </row>
    <row r="34" spans="2:13" ht="20.149999999999999" customHeight="1" x14ac:dyDescent="0.45">
      <c r="B34" s="104"/>
      <c r="C34" s="105"/>
      <c r="D34" s="514"/>
      <c r="E34" s="514"/>
      <c r="F34" s="514"/>
      <c r="G34" s="105"/>
      <c r="H34" s="105"/>
      <c r="I34" s="124"/>
      <c r="J34" s="124"/>
      <c r="K34" s="108"/>
      <c r="L34" s="125"/>
    </row>
    <row r="35" spans="2:13" ht="20.149999999999999" customHeight="1" thickBot="1" x14ac:dyDescent="0.5">
      <c r="B35" s="36"/>
      <c r="L35" s="37"/>
    </row>
    <row r="36" spans="2:13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89" t="s">
        <v>13</v>
      </c>
      <c r="K36" s="490"/>
      <c r="L36" s="38">
        <f>SUM(L18:L35)</f>
        <v>74.5</v>
      </c>
      <c r="M36" s="63"/>
    </row>
    <row r="37" spans="2:13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3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91" t="s">
        <v>19</v>
      </c>
      <c r="K38" s="492"/>
      <c r="L38" s="41">
        <f>L36-L37</f>
        <v>74.5</v>
      </c>
    </row>
    <row r="39" spans="2:13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6.7050000000000001</v>
      </c>
    </row>
    <row r="40" spans="2:13" ht="20.149999999999999" customHeight="1" thickBot="1" x14ac:dyDescent="0.5">
      <c r="B40" s="10" t="s">
        <v>676</v>
      </c>
      <c r="C40" s="6"/>
      <c r="D40" s="6"/>
      <c r="E40" s="6"/>
      <c r="F40" s="6"/>
      <c r="G40" s="6"/>
      <c r="H40" s="6"/>
      <c r="I40" s="6"/>
      <c r="J40" s="485" t="s">
        <v>21</v>
      </c>
      <c r="K40" s="486"/>
      <c r="L40" s="43">
        <f>L38+L39</f>
        <v>81.204999999999998</v>
      </c>
    </row>
    <row r="41" spans="2:13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3" ht="20.149999999999999" customHeight="1" x14ac:dyDescent="0.45">
      <c r="B42" s="144" t="s">
        <v>666</v>
      </c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44"/>
      <c r="C46" s="45"/>
      <c r="D46" s="45"/>
      <c r="J46" s="45"/>
      <c r="K46" s="45"/>
      <c r="L46" s="46"/>
    </row>
    <row r="47" spans="2:13" ht="20.149999999999999" customHeight="1" x14ac:dyDescent="0.45">
      <c r="B47" s="36" t="s">
        <v>25</v>
      </c>
      <c r="J47" s="19" t="s">
        <v>26</v>
      </c>
      <c r="L47" s="37"/>
    </row>
    <row r="48" spans="2:13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  <row r="1048308" spans="4:6" x14ac:dyDescent="0.45">
      <c r="D1048308" s="487"/>
      <c r="E1048308" s="487"/>
      <c r="F1048308" s="487"/>
    </row>
  </sheetData>
  <mergeCells count="50">
    <mergeCell ref="D1048308:F1048308"/>
    <mergeCell ref="J38:K38"/>
    <mergeCell ref="D34:F34"/>
    <mergeCell ref="J36:K36"/>
    <mergeCell ref="J40:K40"/>
    <mergeCell ref="D32:F32"/>
    <mergeCell ref="D28:F28"/>
    <mergeCell ref="I32:J32"/>
    <mergeCell ref="I27:J27"/>
    <mergeCell ref="I21:J21"/>
    <mergeCell ref="D30:F30"/>
    <mergeCell ref="I30:J30"/>
    <mergeCell ref="I23:J23"/>
    <mergeCell ref="D26:F26"/>
    <mergeCell ref="D31:F31"/>
    <mergeCell ref="D27:F27"/>
    <mergeCell ref="I28:J28"/>
    <mergeCell ref="I29:J29"/>
    <mergeCell ref="D29:F29"/>
    <mergeCell ref="I26:J26"/>
    <mergeCell ref="I31:J3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25:F25"/>
    <mergeCell ref="I25:J25"/>
    <mergeCell ref="D20:F20"/>
    <mergeCell ref="I20:J20"/>
    <mergeCell ref="D21:F21"/>
    <mergeCell ref="I24:J24"/>
    <mergeCell ref="D24:F24"/>
    <mergeCell ref="D22:F22"/>
    <mergeCell ref="I22:J22"/>
    <mergeCell ref="D23:F23"/>
    <mergeCell ref="I19:J19"/>
    <mergeCell ref="D19:F19"/>
  </mergeCells>
  <conditionalFormatting sqref="C18:C25">
    <cfRule type="duplicateValues" dxfId="83" priority="2749"/>
    <cfRule type="duplicateValues" dxfId="82" priority="2750"/>
  </conditionalFormatting>
  <conditionalFormatting sqref="C33 C30">
    <cfRule type="duplicateValues" dxfId="81" priority="2691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D8A4B-0C52-449A-94C4-B70CD2613E72}">
  <sheetPr>
    <tabColor rgb="FF7030A0"/>
    <pageSetUpPr fitToPage="1"/>
  </sheetPr>
  <dimension ref="B1:O1048312"/>
  <sheetViews>
    <sheetView zoomScaleNormal="100" workbookViewId="0">
      <selection activeCell="D33" sqref="D33:F3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3.453125" style="19" bestFit="1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1172</v>
      </c>
      <c r="J10" s="24" t="s">
        <v>27</v>
      </c>
      <c r="K10" s="464">
        <v>202504157</v>
      </c>
      <c r="L10" s="465"/>
    </row>
    <row r="11" spans="2:12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 xml:space="preserve">FOOD REPUBLIC PTE LTD                           Somerset Orchard@Ice shop No: 17      313 Orchard Road #05-01                Singapore 238895                           </v>
      </c>
      <c r="G11" s="470"/>
      <c r="H11" s="471"/>
      <c r="J11" s="26" t="s">
        <v>9</v>
      </c>
      <c r="K11" s="478">
        <v>45752</v>
      </c>
      <c r="L11" s="479"/>
    </row>
    <row r="12" spans="2:12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>
        <v>4500360126</v>
      </c>
      <c r="L12" s="483"/>
    </row>
    <row r="13" spans="2:12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5" ht="20.149999999999999" customHeight="1" x14ac:dyDescent="0.45">
      <c r="B18" s="58">
        <v>520718</v>
      </c>
      <c r="C18" s="212" t="str">
        <f>VLOOKUP(B18,'Sales Master'!A$3:B$537,2,0)</f>
        <v>M1001A</v>
      </c>
      <c r="D18" s="487" t="str">
        <f>VLOOKUP(C18,'Sales Master'!B$3:D$537,2,)</f>
        <v xml:space="preserve">Fresh Soursop 红毛榴莲 </v>
      </c>
      <c r="E18" s="487"/>
      <c r="F18" s="487"/>
      <c r="G18" s="76">
        <v>1</v>
      </c>
      <c r="H18" s="183" t="str">
        <f>VLOOKUP(C18,'Sales Master'!$B$3:$F$2420,5,0)</f>
        <v>GW:5 KG/ Tub桶</v>
      </c>
      <c r="I18" s="513" t="str">
        <f>VLOOKUP(C18,'Sales Master'!$B$3:$E$2420,4,0)</f>
        <v>DO!</v>
      </c>
      <c r="J18" s="513"/>
      <c r="K18" s="83">
        <f>VLOOKUP(C18,'Sales Master'!B$3:I$537,8,0)</f>
        <v>34</v>
      </c>
      <c r="L18" s="84">
        <f t="shared" ref="L18" si="0">K18*G18</f>
        <v>34</v>
      </c>
      <c r="N18" s="170"/>
      <c r="O18" s="93"/>
    </row>
    <row r="19" spans="2:15" ht="20.149999999999999" customHeight="1" x14ac:dyDescent="0.45">
      <c r="B19" s="58">
        <v>520735</v>
      </c>
      <c r="C19" s="212" t="str">
        <f>VLOOKUP(B19,'Sales Master'!A$3:B$537,2,0)</f>
        <v>M1018</v>
      </c>
      <c r="D19" s="498" t="str">
        <f>VLOOKUP(C19,'Sales Master'!B$3:D$537,2,)</f>
        <v>Pong Thai Hai (Wet) 碰大海(湿)</v>
      </c>
      <c r="E19" s="498"/>
      <c r="F19" s="498"/>
      <c r="G19" s="76">
        <v>1</v>
      </c>
      <c r="H19" s="183" t="str">
        <f>VLOOKUP(C19,'Sales Master'!$B$3:$F$2420,5,0)</f>
        <v>1 KG/ Pkt包</v>
      </c>
      <c r="I19" s="513" t="str">
        <f>VLOOKUP(C19,'Sales Master'!$B$3:$E$2420,4,0)</f>
        <v>DO!</v>
      </c>
      <c r="J19" s="513"/>
      <c r="K19" s="83">
        <f>VLOOKUP(C19,'Sales Master'!B$3:I$537,8,0)</f>
        <v>12</v>
      </c>
      <c r="L19" s="84">
        <f>K19*G19</f>
        <v>12</v>
      </c>
      <c r="N19" s="170"/>
      <c r="O19" s="93"/>
    </row>
    <row r="20" spans="2:15" ht="20" customHeight="1" x14ac:dyDescent="0.45">
      <c r="B20" s="58">
        <v>522052</v>
      </c>
      <c r="C20" s="212" t="str">
        <f>VLOOKUP(B20,'Sales Master'!A$3:B$537,2,0)</f>
        <v>M1025A</v>
      </c>
      <c r="D20" s="591" t="str">
        <f>VLOOKUP(C20,'Sales Master'!B$3:D$537,2,)</f>
        <v>Mini Sweet Potato Q - Orange 番薯粉圆</v>
      </c>
      <c r="E20" s="591"/>
      <c r="F20" s="591"/>
      <c r="G20" s="76">
        <v>2</v>
      </c>
      <c r="H20" s="183" t="str">
        <f>VLOOKUP(C20,'Sales Master'!$B$3:$F$2420,5,0)</f>
        <v>700 GM/ Box盒</v>
      </c>
      <c r="I20" s="513" t="str">
        <f>VLOOKUP(C20,'Sales Master'!$B$3:$E$2420,4,0)</f>
        <v>DO!</v>
      </c>
      <c r="J20" s="513"/>
      <c r="K20" s="83">
        <f>VLOOKUP(C20,'Sales Master'!B$3:I$537,8,0)</f>
        <v>6</v>
      </c>
      <c r="L20" s="84">
        <f>K20*G20</f>
        <v>12</v>
      </c>
      <c r="N20" s="170"/>
      <c r="O20" s="93"/>
    </row>
    <row r="21" spans="2:15" ht="20.149999999999999" customHeight="1" x14ac:dyDescent="0.45">
      <c r="B21" s="58">
        <v>522055</v>
      </c>
      <c r="C21" s="212" t="str">
        <f>VLOOKUP(B21,'Sales Master'!A$3:B$537,2,0)</f>
        <v>M1026A</v>
      </c>
      <c r="D21" s="589" t="str">
        <f>VLOOKUP(C21,'Sales Master'!B$3:D$537,2,)</f>
        <v>Mini Sweet Potato Q - Purple 紫番薯粉圆</v>
      </c>
      <c r="E21" s="589"/>
      <c r="F21" s="589"/>
      <c r="G21" s="76">
        <v>2</v>
      </c>
      <c r="H21" s="183" t="str">
        <f>VLOOKUP(C21,'Sales Master'!$B$3:$F$2420,5,0)</f>
        <v>700 GM/ Box盒</v>
      </c>
      <c r="I21" s="513" t="str">
        <f>VLOOKUP(C21,'Sales Master'!$B$3:$E$2420,4,0)</f>
        <v>DO!</v>
      </c>
      <c r="J21" s="513"/>
      <c r="K21" s="83">
        <f>VLOOKUP(C21,'Sales Master'!B$3:I$537,8,0)</f>
        <v>8</v>
      </c>
      <c r="L21" s="84">
        <f t="shared" ref="L21:L22" si="1">K21*G21</f>
        <v>16</v>
      </c>
      <c r="N21" s="170"/>
      <c r="O21" s="93"/>
    </row>
    <row r="22" spans="2:15" ht="20.149999999999999" customHeight="1" x14ac:dyDescent="0.45">
      <c r="B22" s="58">
        <v>522053</v>
      </c>
      <c r="C22" s="212" t="str">
        <f>VLOOKUP(B22,'Sales Master'!A$3:B$537,2,0)</f>
        <v>M1027A</v>
      </c>
      <c r="D22" s="487" t="str">
        <f>VLOOKUP(C22,'Sales Master'!B$3:D$537,2,)</f>
        <v>Mini Taro Q - White 芋头粉圆</v>
      </c>
      <c r="E22" s="487"/>
      <c r="F22" s="487"/>
      <c r="G22" s="76">
        <v>2</v>
      </c>
      <c r="H22" s="183" t="str">
        <f>VLOOKUP(C22,'Sales Master'!$B$3:$F$2420,5,0)</f>
        <v>700 GM/ Box盒</v>
      </c>
      <c r="I22" s="513" t="str">
        <f>VLOOKUP(C22,'Sales Master'!$B$3:$E$2420,4,0)</f>
        <v>DO!</v>
      </c>
      <c r="J22" s="513"/>
      <c r="K22" s="83">
        <f>VLOOKUP(C22,'Sales Master'!B$3:I$537,8,0)</f>
        <v>8</v>
      </c>
      <c r="L22" s="84">
        <f t="shared" si="1"/>
        <v>16</v>
      </c>
      <c r="N22" s="170"/>
    </row>
    <row r="23" spans="2:15" ht="20.149999999999999" customHeight="1" x14ac:dyDescent="0.45">
      <c r="B23" s="58">
        <v>522057</v>
      </c>
      <c r="C23" s="212" t="str">
        <f>VLOOKUP(B23,'Sales Master'!A$3:B$537,2,0)</f>
        <v>P2038A</v>
      </c>
      <c r="D23" s="590" t="str">
        <f>VLOOKUP(C23,'Sales Master'!B$3:D$537,2,)</f>
        <v>Snow Ice Powder-Mango 雪花冰粉-杨枝甘露</v>
      </c>
      <c r="E23" s="590"/>
      <c r="F23" s="590"/>
      <c r="G23" s="76">
        <v>10</v>
      </c>
      <c r="H23" s="183" t="str">
        <f>VLOOKUP(C23,'Sales Master'!$B$3:$F$2420,5,0)</f>
        <v>1 KG/ Pkt包</v>
      </c>
      <c r="I23" s="513" t="str">
        <f>VLOOKUP(C23,'Sales Master'!$B$3:$E$2420,4,0)</f>
        <v>-</v>
      </c>
      <c r="J23" s="513"/>
      <c r="K23" s="83">
        <f>VLOOKUP(C23,'Sales Master'!B$3:I$537,8,0)</f>
        <v>18</v>
      </c>
      <c r="L23" s="84">
        <f t="shared" ref="L23:L35" si="2">K23*G23</f>
        <v>180</v>
      </c>
      <c r="N23" s="170"/>
    </row>
    <row r="24" spans="2:15" ht="20.149999999999999" customHeight="1" x14ac:dyDescent="0.45">
      <c r="B24" s="58">
        <v>522058</v>
      </c>
      <c r="C24" s="212" t="str">
        <f>VLOOKUP(B24,'Sales Master'!A$3:B$537,2,0)</f>
        <v>P2038C</v>
      </c>
      <c r="D24" s="591" t="str">
        <f>VLOOKUP(C24,'Sales Master'!B$3:D$537,2,)</f>
        <v>Snow Ice Powder-Matcha 雪花冰粉-抹茶</v>
      </c>
      <c r="E24" s="591"/>
      <c r="F24" s="591"/>
      <c r="G24" s="76">
        <v>6</v>
      </c>
      <c r="H24" s="183" t="str">
        <f>VLOOKUP(C24,'Sales Master'!$B$3:$F$2420,5,0)</f>
        <v>1 KG/ Pkt包</v>
      </c>
      <c r="I24" s="513" t="str">
        <f>VLOOKUP(C24,'Sales Master'!$B$3:$E$2420,4,0)</f>
        <v>-</v>
      </c>
      <c r="J24" s="513"/>
      <c r="K24" s="83">
        <f>VLOOKUP(C24,'Sales Master'!B$3:I$537,8,0)</f>
        <v>18</v>
      </c>
      <c r="L24" s="84">
        <f t="shared" si="2"/>
        <v>108</v>
      </c>
      <c r="N24" s="170"/>
    </row>
    <row r="25" spans="2:15" ht="20.149999999999999" customHeight="1" x14ac:dyDescent="0.45">
      <c r="B25" s="58">
        <v>520695</v>
      </c>
      <c r="C25" s="212" t="str">
        <f>VLOOKUP(B25,'Sales Master'!A$3:B$537,2,0)</f>
        <v>P3001B</v>
      </c>
      <c r="D25" s="487" t="str">
        <f>VLOOKUP(C25,'Sales Master'!B$3:D$537,2,)</f>
        <v>Atap Seeds in Syrup 亚嗒子</v>
      </c>
      <c r="E25" s="487"/>
      <c r="F25" s="487"/>
      <c r="G25" s="76">
        <v>3</v>
      </c>
      <c r="H25" s="183" t="str">
        <f>VLOOKUP(C25,'Sales Master'!$B$3:$F$2420,5,0)</f>
        <v>NW(1.6:0.6) 2.2kg/ Bag包</v>
      </c>
      <c r="I25" s="513" t="str">
        <f>VLOOKUP(C25,'Sales Master'!$B$3:$E$2420,4,0)</f>
        <v>DO!</v>
      </c>
      <c r="J25" s="513"/>
      <c r="K25" s="83">
        <f>VLOOKUP(C25,'Sales Master'!B$3:I$537,8,0)</f>
        <v>10</v>
      </c>
      <c r="L25" s="84">
        <f t="shared" si="2"/>
        <v>30</v>
      </c>
      <c r="N25" s="170"/>
    </row>
    <row r="26" spans="2:15" ht="20.149999999999999" customHeight="1" x14ac:dyDescent="0.45">
      <c r="B26" s="58">
        <v>520721</v>
      </c>
      <c r="C26" s="212" t="str">
        <f>VLOOKUP(B26,'Sales Master'!A$3:B$537,2,0)</f>
        <v>P3004A</v>
      </c>
      <c r="D26" s="487" t="str">
        <f>VLOOKUP(C26,'Sales Master'!B$3:D$537,2,)</f>
        <v>GingKo Nut (Peel off) 白果仁</v>
      </c>
      <c r="E26" s="487"/>
      <c r="F26" s="487"/>
      <c r="G26" s="76">
        <v>6</v>
      </c>
      <c r="H26" s="183" t="str">
        <f>VLOOKUP(C26,'Sales Master'!$B$3:$F$2420,5,0)</f>
        <v>1 KG (500 GM X 2)</v>
      </c>
      <c r="I26" s="513" t="str">
        <f>VLOOKUP(C26,'Sales Master'!$B$3:$E$2420,4,0)</f>
        <v>-</v>
      </c>
      <c r="J26" s="513"/>
      <c r="K26" s="83">
        <f>VLOOKUP(C26,'Sales Master'!B$3:I$537,8,0)</f>
        <v>4.5</v>
      </c>
      <c r="L26" s="84">
        <f t="shared" si="2"/>
        <v>27</v>
      </c>
      <c r="N26" s="170"/>
      <c r="O26" s="93"/>
    </row>
    <row r="27" spans="2:15" ht="20.149999999999999" customHeight="1" x14ac:dyDescent="0.45">
      <c r="B27" s="58">
        <v>520785</v>
      </c>
      <c r="C27" s="212" t="str">
        <f>VLOOKUP(B27,'Sales Master'!A$3:B$537,2,0)</f>
        <v>P3012A</v>
      </c>
      <c r="D27" s="487" t="str">
        <f>VLOOKUP(C27,'Sales Master'!B$3:D$537,2,)</f>
        <v>Split Green Mung Bean 豆爽</v>
      </c>
      <c r="E27" s="487"/>
      <c r="F27" s="487"/>
      <c r="G27" s="76">
        <v>1</v>
      </c>
      <c r="H27" s="183" t="str">
        <f>VLOOKUP(C27,'Sales Master'!$B$3:$F$2420,5,0)</f>
        <v>5 KG</v>
      </c>
      <c r="I27" s="513" t="str">
        <f>VLOOKUP(C27,'Sales Master'!$B$3:$E$2420,4,0)</f>
        <v>-</v>
      </c>
      <c r="J27" s="513"/>
      <c r="K27" s="83">
        <f>VLOOKUP(C27,'Sales Master'!B$3:I$537,8,0)</f>
        <v>18</v>
      </c>
      <c r="L27" s="84">
        <f t="shared" si="2"/>
        <v>18</v>
      </c>
      <c r="N27" s="170"/>
      <c r="O27" s="93"/>
    </row>
    <row r="28" spans="2:15" ht="20.149999999999999" customHeight="1" x14ac:dyDescent="0.45">
      <c r="B28" s="58">
        <v>520787</v>
      </c>
      <c r="C28" s="212" t="str">
        <f>VLOOKUP(B28,'Sales Master'!A$3:B$537,2,0)</f>
        <v>P3014A</v>
      </c>
      <c r="D28" s="487" t="str">
        <f>VLOOKUP(C28,'Sales Master'!B$3:D$537,2,)</f>
        <v>White Glutinous Rice 白糯米</v>
      </c>
      <c r="E28" s="487"/>
      <c r="F28" s="487"/>
      <c r="G28" s="76">
        <v>1</v>
      </c>
      <c r="H28" s="183" t="str">
        <f>VLOOKUP(C28,'Sales Master'!$B$3:$F$2420,5,0)</f>
        <v>5 KG</v>
      </c>
      <c r="I28" s="513" t="str">
        <f>VLOOKUP(C28,'Sales Master'!$B$3:$E$2420,4,0)</f>
        <v>-</v>
      </c>
      <c r="J28" s="513"/>
      <c r="K28" s="83">
        <f>VLOOKUP(C28,'Sales Master'!B$3:I$537,8,0)</f>
        <v>11</v>
      </c>
      <c r="L28" s="84">
        <f t="shared" si="2"/>
        <v>11</v>
      </c>
    </row>
    <row r="29" spans="2:15" ht="20.149999999999999" customHeight="1" x14ac:dyDescent="0.45">
      <c r="B29" s="58">
        <v>520696</v>
      </c>
      <c r="C29" s="212" t="str">
        <f>VLOOKUP(B29,'Sales Master'!A$3:B$537,2,0)</f>
        <v>P3016A</v>
      </c>
      <c r="D29" s="487" t="str">
        <f>VLOOKUP(C29,'Sales Master'!B$3:D$537,2,)</f>
        <v>Pearl Barley 薏米</v>
      </c>
      <c r="E29" s="487"/>
      <c r="F29" s="487"/>
      <c r="G29" s="76">
        <v>1</v>
      </c>
      <c r="H29" s="183" t="str">
        <f>VLOOKUP(C29,'Sales Master'!$B$3:$F$2420,5,0)</f>
        <v>5 KG</v>
      </c>
      <c r="I29" s="513" t="str">
        <f>VLOOKUP(C29,'Sales Master'!$B$3:$E$2420,4,0)</f>
        <v>-</v>
      </c>
      <c r="J29" s="513"/>
      <c r="K29" s="83">
        <f>VLOOKUP(C29,'Sales Master'!B$3:I$537,8,0)</f>
        <v>10</v>
      </c>
      <c r="L29" s="84">
        <f t="shared" si="2"/>
        <v>10</v>
      </c>
      <c r="N29" s="170"/>
      <c r="O29" s="93"/>
    </row>
    <row r="30" spans="2:15" ht="20.149999999999999" customHeight="1" x14ac:dyDescent="0.45">
      <c r="B30" s="58">
        <v>520714</v>
      </c>
      <c r="C30" s="212" t="str">
        <f>VLOOKUP(B30,'Sales Master'!A$3:B$537,2,0)</f>
        <v>P3019A</v>
      </c>
      <c r="D30" s="487" t="str">
        <f>VLOOKUP(C30,'Sales Master'!B$3:D$537,2,)</f>
        <v>Dried Longan 龙眼干</v>
      </c>
      <c r="E30" s="487"/>
      <c r="F30" s="487"/>
      <c r="G30" s="76">
        <v>3</v>
      </c>
      <c r="H30" s="183" t="str">
        <f>VLOOKUP(C30,'Sales Master'!$B$3:$F$2420,5,0)</f>
        <v>1 kg/ Pkt包</v>
      </c>
      <c r="I30" s="513" t="str">
        <f>VLOOKUP(C30,'Sales Master'!$B$3:$E$2420,4,0)</f>
        <v>TL</v>
      </c>
      <c r="J30" s="513"/>
      <c r="K30" s="83">
        <f>VLOOKUP(C30,'Sales Master'!B$3:I$537,8,0)</f>
        <v>15</v>
      </c>
      <c r="L30" s="84">
        <f t="shared" si="2"/>
        <v>45</v>
      </c>
      <c r="N30" s="170"/>
      <c r="O30" s="93"/>
    </row>
    <row r="31" spans="2:15" ht="20.149999999999999" customHeight="1" x14ac:dyDescent="0.45">
      <c r="B31" s="58">
        <v>520786</v>
      </c>
      <c r="C31" s="212" t="str">
        <f>VLOOKUP(B31,'Sales Master'!A$3:B$537,2,0)</f>
        <v>P3023</v>
      </c>
      <c r="D31" s="487" t="str">
        <f>VLOOKUP(C31,'Sales Master'!B$3:D$537,2,)</f>
        <v>Fungus黄 木耳朵</v>
      </c>
      <c r="E31" s="487"/>
      <c r="F31" s="487"/>
      <c r="G31" s="76">
        <v>1</v>
      </c>
      <c r="H31" s="183" t="str">
        <f>VLOOKUP(C31,'Sales Master'!$B$3:$F$2420,5,0)</f>
        <v>1 kg</v>
      </c>
      <c r="I31" s="513" t="str">
        <f>VLOOKUP(C31,'Sales Master'!$B$3:$E$2420,4,0)</f>
        <v>黄</v>
      </c>
      <c r="J31" s="513"/>
      <c r="K31" s="83">
        <f>VLOOKUP(C31,'Sales Master'!B$3:I$537,8,0)</f>
        <v>16</v>
      </c>
      <c r="L31" s="84">
        <f t="shared" si="2"/>
        <v>16</v>
      </c>
      <c r="N31" s="170"/>
      <c r="O31" s="93"/>
    </row>
    <row r="32" spans="2:15" ht="20.149999999999999" customHeight="1" x14ac:dyDescent="0.45">
      <c r="B32" s="58">
        <v>520711</v>
      </c>
      <c r="C32" s="212" t="str">
        <f>VLOOKUP(B32,'Sales Master'!A$3:B$537,2,0)</f>
        <v>P4014</v>
      </c>
      <c r="D32" s="487" t="str">
        <f>VLOOKUP(C32,'Sales Master'!B$3:D$537,2,)</f>
        <v>Cream Corn 玉米浆</v>
      </c>
      <c r="E32" s="487"/>
      <c r="F32" s="487"/>
      <c r="G32" s="76">
        <v>1</v>
      </c>
      <c r="H32" s="183" t="str">
        <f>VLOOKUP(C32,'Sales Master'!$B$3:$F$2420,5,0)</f>
        <v>410 GM x 24/ Ctn箱</v>
      </c>
      <c r="I32" s="513" t="str">
        <f>VLOOKUP(C32,'Sales Master'!$B$3:$E$2420,4,0)</f>
        <v>Statue</v>
      </c>
      <c r="J32" s="513"/>
      <c r="K32" s="83">
        <f>VLOOKUP(C32,'Sales Master'!B$3:I$537,8,0)</f>
        <v>23</v>
      </c>
      <c r="L32" s="84">
        <f t="shared" si="2"/>
        <v>23</v>
      </c>
      <c r="N32" s="170"/>
      <c r="O32" s="93"/>
    </row>
    <row r="33" spans="2:15" ht="20.149999999999999" customHeight="1" x14ac:dyDescent="0.45">
      <c r="B33" s="58">
        <v>520700</v>
      </c>
      <c r="C33" s="212" t="str">
        <f>VLOOKUP(B33,'Sales Master'!A$3:B$537,2,0)</f>
        <v>P5002A</v>
      </c>
      <c r="D33" s="487" t="str">
        <f>VLOOKUP(C33,'Sales Master'!B$3:D$537,2,)</f>
        <v>Brown Sugar 黑糖</v>
      </c>
      <c r="E33" s="487"/>
      <c r="F33" s="487"/>
      <c r="G33" s="76">
        <v>1</v>
      </c>
      <c r="H33" s="183" t="str">
        <f>VLOOKUP(C33,'Sales Master'!$B$3:$F$2420,5,0)</f>
        <v>6 KG</v>
      </c>
      <c r="I33" s="513" t="str">
        <f>VLOOKUP(C33,'Sales Master'!$B$3:$E$2420,4,0)</f>
        <v>Star</v>
      </c>
      <c r="J33" s="513"/>
      <c r="K33" s="83">
        <f>VLOOKUP(C33,'Sales Master'!B$3:I$537,8,0)</f>
        <v>17</v>
      </c>
      <c r="L33" s="84">
        <f t="shared" si="2"/>
        <v>17</v>
      </c>
    </row>
    <row r="34" spans="2:15" ht="20.149999999999999" customHeight="1" x14ac:dyDescent="0.45">
      <c r="B34" s="58">
        <v>520706</v>
      </c>
      <c r="C34" s="212" t="str">
        <f>VLOOKUP(B34,'Sales Master'!A$3:B$537,2,0)</f>
        <v>P5008</v>
      </c>
      <c r="D34" s="487" t="str">
        <f>VLOOKUP(C34,'Sales Master'!B$3:D$537,2,)</f>
        <v>Coconut Sugar 椰糖</v>
      </c>
      <c r="E34" s="487"/>
      <c r="F34" s="487"/>
      <c r="G34" s="76">
        <v>1</v>
      </c>
      <c r="H34" s="183" t="str">
        <f>VLOOKUP(C34,'Sales Master'!$B$3:$F$2420,5,0)</f>
        <v>10 KG/ ctn</v>
      </c>
      <c r="I34" s="513" t="str">
        <f>VLOOKUP(C34,'Sales Master'!$B$3:$E$2420,4,0)</f>
        <v>BL BRAND</v>
      </c>
      <c r="J34" s="513"/>
      <c r="K34" s="83">
        <f>VLOOKUP(C34,'Sales Master'!B$3:I$537,8,0)</f>
        <v>35</v>
      </c>
      <c r="L34" s="84">
        <f t="shared" si="2"/>
        <v>35</v>
      </c>
      <c r="N34" s="170"/>
      <c r="O34" s="93"/>
    </row>
    <row r="35" spans="2:15" ht="20.149999999999999" customHeight="1" x14ac:dyDescent="0.45">
      <c r="B35" s="58">
        <v>520792</v>
      </c>
      <c r="C35" s="212" t="str">
        <f>VLOOKUP(B35,'Sales Master'!A$3:B$537,2,0)</f>
        <v>P6014</v>
      </c>
      <c r="D35" s="487" t="str">
        <f>VLOOKUP(C35,'Sales Master'!B$3:D$537,2,)</f>
        <v>Yu Tiao 油条</v>
      </c>
      <c r="E35" s="487"/>
      <c r="F35" s="487"/>
      <c r="G35" s="76">
        <v>2</v>
      </c>
      <c r="H35" s="183" t="str">
        <f>VLOOKUP(C35,'Sales Master'!$B$3:$F$2420,5,0)</f>
        <v>10 PCS/PKT</v>
      </c>
      <c r="I35" s="513" t="str">
        <f>VLOOKUP(C35,'Sales Master'!$B$3:$E$2420,4,0)</f>
        <v>-</v>
      </c>
      <c r="J35" s="513"/>
      <c r="K35" s="83">
        <f>VLOOKUP(C35,'Sales Master'!B$3:I$537,8,0)</f>
        <v>5.5</v>
      </c>
      <c r="L35" s="84">
        <f t="shared" si="2"/>
        <v>11</v>
      </c>
      <c r="N35" s="170"/>
      <c r="O35" s="93"/>
    </row>
    <row r="36" spans="2:15" ht="20.149999999999999" customHeight="1" x14ac:dyDescent="0.45">
      <c r="B36" s="29"/>
      <c r="C36" s="212"/>
      <c r="G36" s="76"/>
      <c r="H36" s="183"/>
      <c r="I36" s="209"/>
      <c r="J36" s="209"/>
      <c r="K36" s="83"/>
      <c r="L36" s="84"/>
      <c r="N36" s="170"/>
      <c r="O36" s="93"/>
    </row>
    <row r="37" spans="2:15" ht="20.149999999999999" customHeight="1" x14ac:dyDescent="0.45">
      <c r="B37" s="29"/>
      <c r="C37" s="212"/>
      <c r="G37" s="76"/>
      <c r="H37" s="183"/>
      <c r="I37" s="209"/>
      <c r="J37" s="209"/>
      <c r="K37" s="83"/>
      <c r="L37" s="84"/>
    </row>
    <row r="38" spans="2:15" ht="20.149999999999999" customHeight="1" x14ac:dyDescent="0.45">
      <c r="B38" s="104"/>
      <c r="C38" s="105"/>
      <c r="D38" s="514"/>
      <c r="E38" s="514"/>
      <c r="F38" s="514"/>
      <c r="G38" s="105"/>
      <c r="H38" s="105"/>
      <c r="I38" s="124"/>
      <c r="J38" s="124"/>
      <c r="K38" s="108"/>
      <c r="L38" s="125"/>
    </row>
    <row r="39" spans="2:15" ht="20.149999999999999" customHeight="1" thickBot="1" x14ac:dyDescent="0.5">
      <c r="B39" s="36"/>
      <c r="L39" s="37"/>
    </row>
    <row r="40" spans="2:15" ht="20.149999999999999" customHeight="1" x14ac:dyDescent="0.45">
      <c r="B40" s="10" t="s">
        <v>16</v>
      </c>
      <c r="C40" s="6"/>
      <c r="D40" s="6"/>
      <c r="E40" s="6"/>
      <c r="F40" s="6"/>
      <c r="G40" s="6"/>
      <c r="H40" s="6"/>
      <c r="I40" s="6"/>
      <c r="J40" s="489" t="s">
        <v>13</v>
      </c>
      <c r="K40" s="490"/>
      <c r="L40" s="38">
        <f>SUM(L18:L39)</f>
        <v>621</v>
      </c>
      <c r="M40" s="63"/>
    </row>
    <row r="41" spans="2:15" ht="20.149999999999999" customHeight="1" x14ac:dyDescent="0.45">
      <c r="B41" s="10" t="s">
        <v>17</v>
      </c>
      <c r="C41" s="6"/>
      <c r="D41" s="6"/>
      <c r="E41" s="6"/>
      <c r="F41" s="6"/>
      <c r="G41" s="6"/>
      <c r="H41" s="6"/>
      <c r="I41" s="6"/>
      <c r="J41" s="39" t="s">
        <v>20</v>
      </c>
      <c r="K41" s="40"/>
      <c r="L41" s="41">
        <f>L40*K41</f>
        <v>0</v>
      </c>
    </row>
    <row r="42" spans="2:15" ht="20.149999999999999" customHeight="1" x14ac:dyDescent="0.45">
      <c r="B42" s="10" t="s">
        <v>18</v>
      </c>
      <c r="C42" s="6"/>
      <c r="D42" s="6"/>
      <c r="E42" s="6"/>
      <c r="F42" s="6"/>
      <c r="G42" s="6"/>
      <c r="H42" s="6"/>
      <c r="I42" s="6"/>
      <c r="J42" s="491" t="s">
        <v>19</v>
      </c>
      <c r="K42" s="492"/>
      <c r="L42" s="41">
        <f>L40-L41</f>
        <v>621</v>
      </c>
    </row>
    <row r="43" spans="2:15" ht="20.149999999999999" customHeight="1" x14ac:dyDescent="0.45">
      <c r="B43" s="10" t="s">
        <v>22</v>
      </c>
      <c r="C43" s="6"/>
      <c r="D43" s="6"/>
      <c r="E43" s="6"/>
      <c r="F43" s="6"/>
      <c r="G43" s="6"/>
      <c r="H43" s="6"/>
      <c r="I43" s="6"/>
      <c r="J43" s="102" t="s">
        <v>15</v>
      </c>
      <c r="K43" s="103">
        <f>'Sales Master'!$B$1</f>
        <v>0.09</v>
      </c>
      <c r="L43" s="42">
        <f>L42*K43</f>
        <v>55.89</v>
      </c>
    </row>
    <row r="44" spans="2:15" ht="20.149999999999999" customHeight="1" thickBot="1" x14ac:dyDescent="0.5">
      <c r="B44" s="10" t="s">
        <v>676</v>
      </c>
      <c r="C44" s="6"/>
      <c r="D44" s="6"/>
      <c r="E44" s="6"/>
      <c r="F44" s="6"/>
      <c r="G44" s="6"/>
      <c r="H44" s="6"/>
      <c r="I44" s="6"/>
      <c r="J44" s="485" t="s">
        <v>21</v>
      </c>
      <c r="K44" s="486"/>
      <c r="L44" s="43">
        <f>L42+L43</f>
        <v>676.89</v>
      </c>
    </row>
    <row r="45" spans="2:15" ht="20.149999999999999" customHeight="1" x14ac:dyDescent="0.45">
      <c r="B45" s="10" t="s">
        <v>24</v>
      </c>
      <c r="C45" s="6"/>
      <c r="D45" s="6"/>
      <c r="E45" s="6"/>
      <c r="F45" s="6"/>
      <c r="G45" s="6"/>
      <c r="H45" s="6"/>
      <c r="I45" s="6"/>
      <c r="L45" s="37"/>
    </row>
    <row r="46" spans="2:15" ht="20.149999999999999" customHeight="1" x14ac:dyDescent="0.45">
      <c r="B46" s="144" t="s">
        <v>666</v>
      </c>
      <c r="L46" s="37"/>
    </row>
    <row r="47" spans="2:15" ht="20.149999999999999" customHeight="1" x14ac:dyDescent="0.45">
      <c r="B47" s="36"/>
      <c r="L47" s="37"/>
    </row>
    <row r="48" spans="2:15" ht="20.149999999999999" customHeight="1" x14ac:dyDescent="0.45">
      <c r="B48" s="36"/>
      <c r="L48" s="37"/>
    </row>
    <row r="49" spans="2:12" ht="20.149999999999999" customHeight="1" x14ac:dyDescent="0.45">
      <c r="B49" s="36"/>
      <c r="L49" s="37"/>
    </row>
    <row r="50" spans="2:12" ht="20.149999999999999" customHeight="1" x14ac:dyDescent="0.45">
      <c r="B50" s="44"/>
      <c r="C50" s="45"/>
      <c r="D50" s="45"/>
      <c r="J50" s="45"/>
      <c r="K50" s="45"/>
      <c r="L50" s="46"/>
    </row>
    <row r="51" spans="2:12" ht="20.149999999999999" customHeight="1" x14ac:dyDescent="0.45">
      <c r="B51" s="36" t="s">
        <v>25</v>
      </c>
      <c r="J51" s="19" t="s">
        <v>26</v>
      </c>
      <c r="L51" s="37"/>
    </row>
    <row r="52" spans="2:12" ht="19" thickBot="1" x14ac:dyDescent="0.5">
      <c r="B52" s="47"/>
      <c r="C52" s="48"/>
      <c r="D52" s="48"/>
      <c r="E52" s="48"/>
      <c r="F52" s="48"/>
      <c r="G52" s="48"/>
      <c r="H52" s="48"/>
      <c r="I52" s="48"/>
      <c r="J52" s="48"/>
      <c r="K52" s="48"/>
      <c r="L52" s="49"/>
    </row>
    <row r="1048312" spans="4:6" x14ac:dyDescent="0.45">
      <c r="D1048312" s="487"/>
      <c r="E1048312" s="487"/>
      <c r="F1048312" s="487"/>
    </row>
  </sheetData>
  <mergeCells count="5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6:F26"/>
    <mergeCell ref="I26:J26"/>
    <mergeCell ref="D23:F23"/>
    <mergeCell ref="D24:F24"/>
    <mergeCell ref="D25:F25"/>
    <mergeCell ref="I23:J23"/>
    <mergeCell ref="I24:J24"/>
    <mergeCell ref="I25:J25"/>
    <mergeCell ref="D27:F27"/>
    <mergeCell ref="I27:J27"/>
    <mergeCell ref="D28:F28"/>
    <mergeCell ref="I28:J28"/>
    <mergeCell ref="D29:F29"/>
    <mergeCell ref="I29:J29"/>
    <mergeCell ref="D30:F30"/>
    <mergeCell ref="I30:J30"/>
    <mergeCell ref="I31:J31"/>
    <mergeCell ref="D32:F32"/>
    <mergeCell ref="I32:J32"/>
    <mergeCell ref="D31:F31"/>
    <mergeCell ref="D33:F33"/>
    <mergeCell ref="I33:J33"/>
    <mergeCell ref="J42:K42"/>
    <mergeCell ref="J44:K44"/>
    <mergeCell ref="D1048312:F1048312"/>
    <mergeCell ref="D34:F34"/>
    <mergeCell ref="I34:J34"/>
    <mergeCell ref="D35:F35"/>
    <mergeCell ref="I35:J35"/>
    <mergeCell ref="D38:F38"/>
    <mergeCell ref="J40:K40"/>
  </mergeCells>
  <conditionalFormatting sqref="C18:C36">
    <cfRule type="duplicateValues" dxfId="80" priority="2"/>
    <cfRule type="duplicateValues" dxfId="79" priority="3"/>
  </conditionalFormatting>
  <conditionalFormatting sqref="C37">
    <cfRule type="duplicateValues" dxfId="78" priority="1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B8D7B-4CD8-4FA2-996E-AACB3111D379}">
  <sheetPr codeName="Sheet100">
    <tabColor rgb="FFFFC000"/>
    <pageSetUpPr fitToPage="1"/>
  </sheetPr>
  <dimension ref="B1:P41"/>
  <sheetViews>
    <sheetView topLeftCell="B9" workbookViewId="0">
      <selection activeCell="I20" sqref="I20:J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8.1796875" style="19" customWidth="1"/>
    <col min="9" max="9" width="1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106</v>
      </c>
      <c r="J10" s="24" t="s">
        <v>27</v>
      </c>
      <c r="K10" s="464">
        <v>202401052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 - Dim Sum                                     10, Sinaran Drive #04-14 to 19,56 to 73. Novena Square 2 Singapore 307506                                             </v>
      </c>
      <c r="G11" s="470"/>
      <c r="H11" s="471"/>
      <c r="J11" s="26" t="s">
        <v>9</v>
      </c>
      <c r="K11" s="478">
        <v>45294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786</v>
      </c>
      <c r="D18" s="487" t="str">
        <f>VLOOKUP(C18,'Sales Master'!B$3:D$537,2,)</f>
        <v>Tapioca Flour 茨粉</v>
      </c>
      <c r="E18" s="487"/>
      <c r="F18" s="487"/>
      <c r="G18" s="17">
        <v>20</v>
      </c>
      <c r="H18" s="186" t="str">
        <f>VLOOKUP(C18,'Sales Master'!$B$3:$F$2420,5,0)</f>
        <v xml:space="preserve">500 GM/pkt </v>
      </c>
      <c r="I18" s="519" t="str">
        <f>VLOOKUP(C18,'Sales Master'!$B$3:$E$2420,4,0)</f>
        <v>F/man 飞人</v>
      </c>
      <c r="J18" s="519"/>
      <c r="K18" s="30">
        <f>VLOOKUP(C18,'Sales Master'!B$3:J$537,9,0)</f>
        <v>0.8</v>
      </c>
      <c r="L18" s="64">
        <f>K18*G18</f>
        <v>16</v>
      </c>
      <c r="M18" s="65"/>
      <c r="N18" s="145">
        <f>VLOOKUP(C18,'Sales Master'!$B$3:$DA$2279,104,0)</f>
        <v>0.62</v>
      </c>
      <c r="O18" s="145">
        <f>K18-N18</f>
        <v>0.18000000000000005</v>
      </c>
      <c r="P18" s="145">
        <f>O18*G18</f>
        <v>3.600000000000001</v>
      </c>
    </row>
    <row r="19" spans="2:16" ht="20.149999999999999" customHeight="1" x14ac:dyDescent="0.45">
      <c r="B19" s="29"/>
      <c r="C19" s="212" t="s">
        <v>966</v>
      </c>
      <c r="D19" s="487" t="str">
        <f>VLOOKUP(C19,'Sales Master'!B$3:D$537,2,)</f>
        <v>Coconut Milk 椰浆</v>
      </c>
      <c r="E19" s="487"/>
      <c r="F19" s="487"/>
      <c r="G19" s="17">
        <v>3</v>
      </c>
      <c r="H19" s="186" t="str">
        <f>VLOOKUP(C19,'Sales Master'!$B$3:$F$2420,5,0)</f>
        <v>(1L x 12bag)/箱</v>
      </c>
      <c r="I19" s="519" t="str">
        <f>VLOOKUP(C19,'Sales Master'!$B$3:$E$2420,4,0)</f>
        <v>Kara UHT</v>
      </c>
      <c r="J19" s="519"/>
      <c r="K19" s="30">
        <f>VLOOKUP(C19,'Sales Master'!B$3:J$537,9,0)</f>
        <v>54</v>
      </c>
      <c r="L19" s="64">
        <f>K19*G19</f>
        <v>162</v>
      </c>
      <c r="M19" s="65"/>
      <c r="N19" s="145">
        <f>VLOOKUP(C19,'Sales Master'!$B$3:$DA$2279,104,0)</f>
        <v>35.799999999999997</v>
      </c>
      <c r="O19" s="145">
        <f>K19-N19</f>
        <v>18.200000000000003</v>
      </c>
      <c r="P19" s="145">
        <f>O19*G19</f>
        <v>54.600000000000009</v>
      </c>
    </row>
    <row r="20" spans="2:16" ht="20.149999999999999" customHeight="1" x14ac:dyDescent="0.45">
      <c r="B20" s="29"/>
      <c r="C20" s="17"/>
      <c r="G20" s="17"/>
      <c r="H20" s="56"/>
      <c r="I20" s="56"/>
      <c r="J20" s="56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G21" s="17"/>
      <c r="H21" s="56"/>
      <c r="I21" s="56"/>
      <c r="J21" s="56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87"/>
      <c r="E22" s="487"/>
      <c r="F22" s="487"/>
      <c r="G22" s="17"/>
      <c r="H22" s="56"/>
      <c r="I22" s="458"/>
      <c r="J22" s="458"/>
      <c r="K22" s="30"/>
      <c r="L22" s="64"/>
      <c r="M22" s="65"/>
    </row>
    <row r="23" spans="2:16" ht="20.149999999999999" customHeight="1" x14ac:dyDescent="0.45">
      <c r="B23" s="29"/>
      <c r="C23" s="17"/>
      <c r="D23" s="487"/>
      <c r="E23" s="487"/>
      <c r="F23" s="487"/>
      <c r="G23" s="17"/>
      <c r="H23" s="56"/>
      <c r="I23" s="458"/>
      <c r="J23" s="458"/>
      <c r="K23" s="30"/>
      <c r="L23" s="64"/>
      <c r="M23" s="65"/>
    </row>
    <row r="24" spans="2:16" ht="20.149999999999999" customHeight="1" x14ac:dyDescent="0.45">
      <c r="B24" s="29"/>
      <c r="C24" s="17"/>
      <c r="G24" s="17"/>
      <c r="H24" s="56"/>
      <c r="I24" s="17"/>
      <c r="J24" s="17"/>
      <c r="K24" s="30"/>
      <c r="L24" s="64"/>
      <c r="M24" s="65"/>
    </row>
    <row r="25" spans="2:16" ht="20.149999999999999" customHeight="1" x14ac:dyDescent="0.45">
      <c r="B25" s="29"/>
      <c r="C25" s="17"/>
      <c r="D25" s="487"/>
      <c r="E25" s="487"/>
      <c r="F25" s="487"/>
      <c r="G25" s="17"/>
      <c r="H25" s="56"/>
      <c r="I25" s="458"/>
      <c r="J25" s="458"/>
      <c r="K25" s="30"/>
      <c r="L25" s="64"/>
      <c r="M25" s="65"/>
    </row>
    <row r="26" spans="2:16" ht="20.149999999999999" customHeight="1" x14ac:dyDescent="0.45">
      <c r="B26" s="29"/>
      <c r="C26" s="17"/>
      <c r="D26" s="487"/>
      <c r="E26" s="487"/>
      <c r="F26" s="487"/>
      <c r="G26" s="17"/>
      <c r="H26" s="56"/>
      <c r="I26" s="458"/>
      <c r="J26" s="458"/>
      <c r="K26" s="30"/>
      <c r="L26" s="31"/>
    </row>
    <row r="27" spans="2:16" ht="20.149999999999999" customHeight="1" thickBot="1" x14ac:dyDescent="0.5">
      <c r="B27" s="32"/>
      <c r="C27" s="33"/>
      <c r="D27" s="488"/>
      <c r="E27" s="488"/>
      <c r="F27" s="488"/>
      <c r="G27" s="33"/>
      <c r="H27" s="57"/>
      <c r="I27" s="459"/>
      <c r="J27" s="459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89" t="s">
        <v>13</v>
      </c>
      <c r="K29" s="490"/>
      <c r="L29" s="38">
        <f>SUM(L17:L26)</f>
        <v>178</v>
      </c>
      <c r="M29" s="63">
        <f>SUM(P18:P27)</f>
        <v>58.20000000000001</v>
      </c>
      <c r="N29" s="133">
        <f>M29/L29</f>
        <v>0.32696629213483153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91" t="s">
        <v>19</v>
      </c>
      <c r="K31" s="492"/>
      <c r="L31" s="41">
        <f>L29-L30</f>
        <v>178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16.02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85" t="s">
        <v>21</v>
      </c>
      <c r="K33" s="486"/>
      <c r="L33" s="43">
        <f>L31+L32</f>
        <v>194.02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2">
    <mergeCell ref="J31:K31"/>
    <mergeCell ref="J33:K33"/>
    <mergeCell ref="D26:F26"/>
    <mergeCell ref="I26:J26"/>
    <mergeCell ref="D27:F27"/>
    <mergeCell ref="I27:J27"/>
    <mergeCell ref="D23:F23"/>
    <mergeCell ref="I23:J23"/>
    <mergeCell ref="D25:F25"/>
    <mergeCell ref="I25:J25"/>
    <mergeCell ref="J29:K29"/>
    <mergeCell ref="D19:F19"/>
    <mergeCell ref="I19:J19"/>
    <mergeCell ref="D22:F22"/>
    <mergeCell ref="I22:J22"/>
    <mergeCell ref="D18:F18"/>
    <mergeCell ref="I18:J18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23622047244094491" top="0.23622047244094491" bottom="0.23622047244094491" header="0.31496062992125984" footer="0.31496062992125984"/>
  <pageSetup paperSize="9" scale="77" orientation="portrait" horizontalDpi="300" verticalDpi="300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F7832-9A0B-428E-93A2-7A94DF921E98}">
  <sheetPr>
    <tabColor rgb="FFFFC000"/>
    <pageSetUpPr fitToPage="1"/>
  </sheetPr>
  <dimension ref="A1:R53"/>
  <sheetViews>
    <sheetView topLeftCell="A9" zoomScaleNormal="100" workbookViewId="0"/>
  </sheetViews>
  <sheetFormatPr defaultColWidth="12.54296875" defaultRowHeight="18.5" x14ac:dyDescent="0.45"/>
  <cols>
    <col min="1" max="3" width="12.6328125" style="19" customWidth="1"/>
    <col min="4" max="4" width="13.6328125" style="19" customWidth="1"/>
    <col min="5" max="5" width="1.54296875" style="19" customWidth="1"/>
    <col min="6" max="6" width="17.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6328125" style="19" customWidth="1"/>
    <col min="11" max="12" width="12.632812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1173</v>
      </c>
      <c r="J10" s="24" t="s">
        <v>27</v>
      </c>
      <c r="K10" s="464">
        <v>202504231</v>
      </c>
      <c r="L10" s="465"/>
    </row>
    <row r="11" spans="2:12" ht="20.149999999999999" customHeight="1" x14ac:dyDescent="0.45">
      <c r="B11" s="466" t="s">
        <v>678</v>
      </c>
      <c r="C11" s="467"/>
      <c r="D11" s="468"/>
      <c r="E11" s="25"/>
      <c r="F11" s="469" t="str">
        <f>VLOOKUP(H10,'Delivery Location'!A$4:N$466,2,0)</f>
        <v xml:space="preserve">Food Junction                                                    Westgate Combined Stalls                                   3 Gateway Drive, #B1-28/29 Westgate        Singapore 608532                           </v>
      </c>
      <c r="G11" s="470"/>
      <c r="H11" s="471"/>
      <c r="J11" s="26" t="s">
        <v>9</v>
      </c>
      <c r="K11" s="478">
        <v>45756</v>
      </c>
      <c r="L11" s="479"/>
    </row>
    <row r="12" spans="2:12" ht="20.149999999999999" customHeight="1" x14ac:dyDescent="0.45">
      <c r="B12" s="480" t="s">
        <v>524</v>
      </c>
      <c r="C12" s="453"/>
      <c r="D12" s="481"/>
      <c r="E12" s="25"/>
      <c r="F12" s="472"/>
      <c r="G12" s="473"/>
      <c r="H12" s="474"/>
      <c r="J12" s="26" t="s">
        <v>127</v>
      </c>
      <c r="K12" s="482">
        <v>4500363253</v>
      </c>
      <c r="L12" s="483"/>
    </row>
    <row r="13" spans="2:12" ht="20.149999999999999" customHeight="1" x14ac:dyDescent="0.45">
      <c r="B13" s="480" t="s">
        <v>525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609</v>
      </c>
      <c r="L13" s="483"/>
    </row>
    <row r="14" spans="2:12" ht="20.149999999999999" customHeight="1" x14ac:dyDescent="0.45">
      <c r="B14" s="480" t="s">
        <v>526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18" t="s">
        <v>527</v>
      </c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1:18" ht="20.149999999999999" customHeight="1" x14ac:dyDescent="0.45">
      <c r="A18" s="65"/>
      <c r="B18" s="58">
        <v>520737</v>
      </c>
      <c r="C18" s="212" t="str">
        <f>VLOOKUP(B18,'Sales Master'!A$3:B$537,2,0)</f>
        <v>M1004</v>
      </c>
      <c r="D18" s="487" t="str">
        <f>VLOOKUP(C18,'Sales Master'!B$3:D$537,2,)</f>
        <v>Mango Puree 芒果酱</v>
      </c>
      <c r="E18" s="487"/>
      <c r="F18" s="487"/>
      <c r="G18" s="76">
        <v>2</v>
      </c>
      <c r="H18" s="183" t="str">
        <f>VLOOKUP(C18,'Sales Master'!$B$3:$F$2420,5,0)</f>
        <v>1 KG/ Box盒</v>
      </c>
      <c r="I18" s="513" t="str">
        <f>VLOOKUP(C18,'Sales Master'!$B$3:$E$2420,4,0)</f>
        <v>DO!</v>
      </c>
      <c r="J18" s="513"/>
      <c r="K18" s="83">
        <f>VLOOKUP(C18,'Sales Master'!B$3:I$537,8,0)</f>
        <v>7</v>
      </c>
      <c r="L18" s="84">
        <f>K18*G18</f>
        <v>14</v>
      </c>
    </row>
    <row r="19" spans="1:18" ht="20.149999999999999" customHeight="1" x14ac:dyDescent="0.45">
      <c r="A19" s="65"/>
      <c r="B19" s="58">
        <v>520695</v>
      </c>
      <c r="C19" s="212" t="str">
        <f>VLOOKUP(B19,'Sales Master'!A$3:B$537,2,0)</f>
        <v>P3001B</v>
      </c>
      <c r="D19" s="487" t="str">
        <f>VLOOKUP(C19,'Sales Master'!B$3:D$537,2,)</f>
        <v>Atap Seeds in Syrup 亚嗒子</v>
      </c>
      <c r="E19" s="487"/>
      <c r="F19" s="487"/>
      <c r="G19" s="76">
        <v>2</v>
      </c>
      <c r="H19" s="183" t="str">
        <f>VLOOKUP(C19,'Sales Master'!$B$3:$F$2420,5,0)</f>
        <v>NW(1.6:0.6) 2.2kg/ Bag包</v>
      </c>
      <c r="I19" s="513" t="str">
        <f>VLOOKUP(C19,'Sales Master'!$B$3:$E$2420,4,0)</f>
        <v>DO!</v>
      </c>
      <c r="J19" s="513"/>
      <c r="K19" s="83">
        <f>VLOOKUP(C19,'Sales Master'!B$3:I$537,8,0)</f>
        <v>10</v>
      </c>
      <c r="L19" s="84">
        <f t="shared" ref="L19" si="0">K19*G19</f>
        <v>20</v>
      </c>
    </row>
    <row r="20" spans="1:18" ht="20.149999999999999" customHeight="1" x14ac:dyDescent="0.45">
      <c r="A20" s="65"/>
      <c r="B20" s="58">
        <v>520721</v>
      </c>
      <c r="C20" s="212" t="str">
        <f>VLOOKUP(B20,'Sales Master'!A$3:B$537,2,0)</f>
        <v>P3004A</v>
      </c>
      <c r="D20" s="487" t="str">
        <f>VLOOKUP(C20,'Sales Master'!B$3:D$537,2,)</f>
        <v>GingKo Nut (Peel off) 白果仁</v>
      </c>
      <c r="E20" s="487"/>
      <c r="F20" s="487"/>
      <c r="G20" s="76">
        <v>2</v>
      </c>
      <c r="H20" s="183" t="str">
        <f>VLOOKUP(C20,'Sales Master'!$B$3:$F$2420,5,0)</f>
        <v>1 KG (500 GM X 2)</v>
      </c>
      <c r="I20" s="513" t="str">
        <f>VLOOKUP(C20,'Sales Master'!$B$3:$E$2420,4,0)</f>
        <v>-</v>
      </c>
      <c r="J20" s="513"/>
      <c r="K20" s="83">
        <f>VLOOKUP(C20,'Sales Master'!B$3:I$537,8,0)</f>
        <v>4.5</v>
      </c>
      <c r="L20" s="84">
        <f>K20*G20</f>
        <v>9</v>
      </c>
    </row>
    <row r="21" spans="1:18" ht="20.149999999999999" customHeight="1" x14ac:dyDescent="0.45">
      <c r="A21" s="65"/>
      <c r="B21" s="58">
        <v>520738</v>
      </c>
      <c r="C21" s="212" t="str">
        <f>VLOOKUP(B21,'Sales Master'!A$3:B$537,2,0)</f>
        <v>P3005A</v>
      </c>
      <c r="D21" s="487" t="str">
        <f>VLOOKUP(C21,'Sales Master'!B$3:D$537,2,)</f>
        <v>Red Bean 红豆 (5.5 mm)</v>
      </c>
      <c r="E21" s="487"/>
      <c r="F21" s="487"/>
      <c r="G21" s="76">
        <v>1</v>
      </c>
      <c r="H21" s="183" t="str">
        <f>VLOOKUP(C21,'Sales Master'!$B$3:$F$2420,5,0)</f>
        <v>5 KG</v>
      </c>
      <c r="I21" s="513" t="str">
        <f>VLOOKUP(C21,'Sales Master'!$B$3:$E$2420,4,0)</f>
        <v>-</v>
      </c>
      <c r="J21" s="513"/>
      <c r="K21" s="83">
        <f>VLOOKUP(C21,'Sales Master'!B$3:I$537,8,0)</f>
        <v>17.5</v>
      </c>
      <c r="L21" s="84">
        <f t="shared" ref="L21" si="1">K21*G21</f>
        <v>17.5</v>
      </c>
    </row>
    <row r="22" spans="1:18" ht="20.149999999999999" customHeight="1" x14ac:dyDescent="0.45">
      <c r="A22" s="65"/>
      <c r="B22" s="58">
        <v>520746</v>
      </c>
      <c r="C22" s="212" t="str">
        <f>VLOOKUP(B22,'Sales Master'!A$3:B$537,2,0)</f>
        <v>P3012A</v>
      </c>
      <c r="D22" s="487" t="str">
        <f>VLOOKUP(C22,'Sales Master'!B$3:D$537,2,)</f>
        <v>Split Green Mung Bean 豆爽</v>
      </c>
      <c r="E22" s="487"/>
      <c r="F22" s="487"/>
      <c r="G22" s="76">
        <v>2</v>
      </c>
      <c r="H22" s="183" t="str">
        <f>VLOOKUP(C22,'Sales Master'!$B$3:$F$2420,5,0)</f>
        <v>5 KG</v>
      </c>
      <c r="I22" s="513" t="str">
        <f>VLOOKUP(C22,'Sales Master'!$B$3:$E$2420,4,0)</f>
        <v>-</v>
      </c>
      <c r="J22" s="513"/>
      <c r="K22" s="83">
        <f>VLOOKUP(C22,'Sales Master'!B$3:I$537,8,0)</f>
        <v>18</v>
      </c>
      <c r="L22" s="84">
        <f>K22*G22</f>
        <v>36</v>
      </c>
    </row>
    <row r="23" spans="1:18" ht="20.149999999999999" customHeight="1" x14ac:dyDescent="0.45">
      <c r="A23" s="65"/>
      <c r="B23" s="58">
        <v>520696</v>
      </c>
      <c r="C23" s="212" t="str">
        <f>VLOOKUP(B23,'Sales Master'!A$3:B$537,2,0)</f>
        <v>P3016A</v>
      </c>
      <c r="D23" s="487" t="str">
        <f>VLOOKUP(C23,'Sales Master'!B$3:D$537,2,)</f>
        <v>Pearl Barley 薏米</v>
      </c>
      <c r="E23" s="487"/>
      <c r="F23" s="487"/>
      <c r="G23" s="76">
        <v>3</v>
      </c>
      <c r="H23" s="183" t="str">
        <f>VLOOKUP(C23,'Sales Master'!$B$3:$F$2420,5,0)</f>
        <v>5 KG</v>
      </c>
      <c r="I23" s="513" t="str">
        <f>VLOOKUP(C23,'Sales Master'!$B$3:$E$2420,4,0)</f>
        <v>-</v>
      </c>
      <c r="J23" s="513"/>
      <c r="K23" s="83">
        <f>VLOOKUP(C23,'Sales Master'!B$3:I$537,8,0)</f>
        <v>10</v>
      </c>
      <c r="L23" s="84">
        <f>K23*G23</f>
        <v>30</v>
      </c>
    </row>
    <row r="24" spans="1:18" ht="20.149999999999999" customHeight="1" x14ac:dyDescent="0.45">
      <c r="A24" s="65"/>
      <c r="B24" s="58">
        <v>520714</v>
      </c>
      <c r="C24" s="212" t="str">
        <f>VLOOKUP(B24,'Sales Master'!A$3:B$537,2,0)</f>
        <v>P3019A</v>
      </c>
      <c r="D24" s="487" t="str">
        <f>VLOOKUP(C24,'Sales Master'!B$3:D$537,2,)</f>
        <v>Dried Longan 龙眼干</v>
      </c>
      <c r="E24" s="487"/>
      <c r="F24" s="487"/>
      <c r="G24" s="76">
        <v>2</v>
      </c>
      <c r="H24" s="183" t="str">
        <f>VLOOKUP(C24,'Sales Master'!$B$3:$F$2420,5,0)</f>
        <v>1 kg/ Pkt包</v>
      </c>
      <c r="I24" s="513" t="str">
        <f>VLOOKUP(C24,'Sales Master'!$B$3:$E$2420,4,0)</f>
        <v>TL</v>
      </c>
      <c r="J24" s="513"/>
      <c r="K24" s="83">
        <f>VLOOKUP(C24,'Sales Master'!B$3:I$537,8,0)</f>
        <v>15</v>
      </c>
      <c r="L24" s="84">
        <f t="shared" ref="L24" si="2">K24*G24</f>
        <v>30</v>
      </c>
    </row>
    <row r="25" spans="1:18" ht="20.149999999999999" customHeight="1" x14ac:dyDescent="0.45">
      <c r="A25" s="65"/>
      <c r="B25" s="58">
        <v>520728</v>
      </c>
      <c r="C25" s="212" t="str">
        <f>VLOOKUP(B25,'Sales Master'!A$3:B$537,2,0)</f>
        <v>P4010</v>
      </c>
      <c r="D25" s="487" t="str">
        <f>VLOOKUP(C25,'Sales Master'!B$3:D$537,2,)</f>
        <v>Lychee in Syrup 荔枝</v>
      </c>
      <c r="E25" s="487"/>
      <c r="F25" s="487"/>
      <c r="G25" s="76">
        <v>1</v>
      </c>
      <c r="H25" s="183" t="str">
        <f>VLOOKUP(C25,'Sales Master'!$B$3:$F$2420,5,0)</f>
        <v>12can/箱</v>
      </c>
      <c r="I25" s="513" t="str">
        <f>VLOOKUP(C25,'Sales Master'!$B$3:$E$2420,4,0)</f>
        <v>MiLi</v>
      </c>
      <c r="J25" s="513"/>
      <c r="K25" s="83">
        <f>VLOOKUP(C25,'Sales Master'!B$3:I$537,8,0)</f>
        <v>26.5</v>
      </c>
      <c r="L25" s="84">
        <f>K25*G25</f>
        <v>26.5</v>
      </c>
      <c r="N25" s="145"/>
      <c r="O25" s="145"/>
      <c r="P25" s="145"/>
      <c r="Q25" s="63"/>
      <c r="R25" s="63"/>
    </row>
    <row r="26" spans="1:18" ht="20.149999999999999" customHeight="1" x14ac:dyDescent="0.45">
      <c r="A26" s="65"/>
      <c r="B26" s="58">
        <v>520711</v>
      </c>
      <c r="C26" s="212" t="str">
        <f>VLOOKUP(B26,'Sales Master'!A$3:B$537,2,0)</f>
        <v>P4014</v>
      </c>
      <c r="D26" s="487" t="str">
        <f>VLOOKUP(C26,'Sales Master'!B$3:D$537,2,)</f>
        <v>Cream Corn 玉米浆</v>
      </c>
      <c r="E26" s="487"/>
      <c r="F26" s="487"/>
      <c r="G26" s="76">
        <v>1</v>
      </c>
      <c r="H26" s="183" t="str">
        <f>VLOOKUP(C26,'Sales Master'!$B$3:$F$2420,5,0)</f>
        <v>410 GM x 24/ Ctn箱</v>
      </c>
      <c r="I26" s="513" t="str">
        <f>VLOOKUP(C26,'Sales Master'!$B$3:$E$2420,4,0)</f>
        <v>Statue</v>
      </c>
      <c r="J26" s="513"/>
      <c r="K26" s="83">
        <f>VLOOKUP(C26,'Sales Master'!B$3:I$537,8,0)</f>
        <v>23</v>
      </c>
      <c r="L26" s="84">
        <f t="shared" ref="L26" si="3">K26*G26</f>
        <v>23</v>
      </c>
      <c r="N26" s="145"/>
      <c r="O26" s="145"/>
      <c r="P26" s="145"/>
      <c r="Q26" s="63"/>
      <c r="R26" s="63"/>
    </row>
    <row r="27" spans="1:18" ht="20.149999999999999" customHeight="1" x14ac:dyDescent="0.45">
      <c r="A27" s="65"/>
      <c r="B27" s="58">
        <v>520733</v>
      </c>
      <c r="C27" s="212" t="str">
        <f>VLOOKUP(B27,'Sales Master'!A$3:B$537,2,0)</f>
        <v>P6002A</v>
      </c>
      <c r="D27" s="498" t="str">
        <f>VLOOKUP(C27,'Sales Master'!B$3:D$537,2,)</f>
        <v>Skinless Sweet Potato 去皮番薯</v>
      </c>
      <c r="E27" s="498"/>
      <c r="F27" s="498"/>
      <c r="G27" s="76">
        <v>1</v>
      </c>
      <c r="H27" s="183" t="str">
        <f>VLOOKUP(C27,'Sales Master'!$B$3:$F$2420,5,0)</f>
        <v>5 KG</v>
      </c>
      <c r="I27" s="513" t="str">
        <f>VLOOKUP(C27,'Sales Master'!$B$3:$E$2420,4,0)</f>
        <v>Malaysia</v>
      </c>
      <c r="J27" s="513"/>
      <c r="K27" s="83">
        <f>VLOOKUP(C27,'Sales Master'!B$3:I$537,8,0)</f>
        <v>18</v>
      </c>
      <c r="L27" s="84">
        <f>K27*G27</f>
        <v>18</v>
      </c>
    </row>
    <row r="28" spans="1:18" ht="20.149999999999999" customHeight="1" x14ac:dyDescent="0.45">
      <c r="A28" s="65"/>
      <c r="B28" s="58">
        <v>520792</v>
      </c>
      <c r="C28" s="212" t="str">
        <f>VLOOKUP(B28,'Sales Master'!A$3:B$537,2,0)</f>
        <v>P6014</v>
      </c>
      <c r="D28" s="487" t="str">
        <f>VLOOKUP(C28,'Sales Master'!B$3:D$537,2,)</f>
        <v>Yu Tiao 油条</v>
      </c>
      <c r="E28" s="487"/>
      <c r="F28" s="487"/>
      <c r="G28" s="76">
        <v>2</v>
      </c>
      <c r="H28" s="183" t="str">
        <f>VLOOKUP(C28,'Sales Master'!$B$3:$F$2420,5,0)</f>
        <v>10 PCS/PKT</v>
      </c>
      <c r="I28" s="513" t="str">
        <f>VLOOKUP(C28,'Sales Master'!$B$3:$E$2420,4,0)</f>
        <v>-</v>
      </c>
      <c r="J28" s="513"/>
      <c r="K28" s="83">
        <f>VLOOKUP(C28,'Sales Master'!B$3:I$537,8,0)</f>
        <v>5.5</v>
      </c>
      <c r="L28" s="84">
        <f>K28*G28</f>
        <v>11</v>
      </c>
    </row>
    <row r="29" spans="1:18" ht="20.149999999999999" customHeight="1" x14ac:dyDescent="0.45">
      <c r="A29" s="65"/>
      <c r="B29" s="58">
        <v>520740</v>
      </c>
      <c r="C29" s="212" t="str">
        <f>VLOOKUP(B29,'Sales Master'!A$3:B$537,2,0)</f>
        <v>M1037A</v>
      </c>
      <c r="D29" s="487" t="str">
        <f>VLOOKUP(C29,'Sales Master'!B$3:D$537,2,)</f>
        <v>Rock Sugar Syrup 冰糖浆</v>
      </c>
      <c r="E29" s="487"/>
      <c r="F29" s="487"/>
      <c r="G29" s="76">
        <v>3</v>
      </c>
      <c r="H29" s="183" t="str">
        <f>VLOOKUP(C29,'Sales Master'!$B$3:$F$2420,5,0)</f>
        <v>5 KG</v>
      </c>
      <c r="I29" s="513" t="str">
        <f>VLOOKUP(C29,'Sales Master'!$B$3:$E$2420,4,0)</f>
        <v>DO!</v>
      </c>
      <c r="J29" s="513"/>
      <c r="K29" s="83">
        <f>VLOOKUP(C29,'Sales Master'!B$3:I$537,8,0)</f>
        <v>11</v>
      </c>
      <c r="L29" s="84">
        <f t="shared" ref="L29" si="4">K29*G29</f>
        <v>33</v>
      </c>
    </row>
    <row r="30" spans="1:18" ht="20.149999999999999" customHeight="1" x14ac:dyDescent="0.45">
      <c r="A30" s="65"/>
      <c r="B30" s="58"/>
      <c r="C30" s="212"/>
      <c r="G30" s="76"/>
      <c r="H30" s="183"/>
      <c r="I30" s="209"/>
      <c r="J30" s="209"/>
      <c r="K30" s="83"/>
      <c r="L30" s="84"/>
    </row>
    <row r="31" spans="1:18" ht="20.149999999999999" customHeight="1" x14ac:dyDescent="0.45">
      <c r="A31" s="65"/>
      <c r="B31" s="58"/>
      <c r="C31" s="212"/>
      <c r="G31" s="76"/>
      <c r="H31" s="183"/>
      <c r="I31" s="209"/>
      <c r="J31" s="209"/>
      <c r="K31" s="83"/>
      <c r="L31" s="84"/>
    </row>
    <row r="32" spans="1:18" ht="20.149999999999999" customHeight="1" x14ac:dyDescent="0.45">
      <c r="A32" s="65"/>
      <c r="B32" s="58"/>
      <c r="C32" s="212"/>
      <c r="D32" s="487"/>
      <c r="E32" s="487"/>
      <c r="F32" s="487"/>
      <c r="G32" s="76"/>
      <c r="H32" s="183"/>
      <c r="I32" s="513"/>
      <c r="J32" s="513"/>
      <c r="K32" s="83"/>
      <c r="L32" s="84"/>
      <c r="N32" s="145"/>
      <c r="O32" s="145"/>
      <c r="P32" s="145"/>
      <c r="Q32" s="63"/>
      <c r="R32" s="63"/>
    </row>
    <row r="33" spans="1:18" ht="20.149999999999999" customHeight="1" x14ac:dyDescent="0.45">
      <c r="A33" s="65"/>
      <c r="B33" s="243"/>
      <c r="C33" s="212"/>
      <c r="D33" s="487"/>
      <c r="E33" s="487"/>
      <c r="F33" s="487"/>
      <c r="G33" s="76"/>
      <c r="H33" s="183"/>
      <c r="I33" s="513"/>
      <c r="J33" s="513"/>
      <c r="K33" s="83"/>
      <c r="L33" s="84"/>
    </row>
    <row r="34" spans="1:18" ht="20.149999999999999" customHeight="1" x14ac:dyDescent="0.45">
      <c r="A34" s="65"/>
      <c r="B34" s="243"/>
      <c r="C34" s="212"/>
      <c r="D34" s="487"/>
      <c r="E34" s="487"/>
      <c r="F34" s="487"/>
      <c r="G34" s="76"/>
      <c r="H34" s="183"/>
      <c r="I34" s="513"/>
      <c r="J34" s="513"/>
      <c r="K34" s="83"/>
      <c r="L34" s="84"/>
      <c r="N34" s="145"/>
      <c r="O34" s="145"/>
      <c r="P34" s="145"/>
      <c r="Q34" s="63"/>
      <c r="R34" s="63"/>
    </row>
    <row r="35" spans="1:18" ht="20.149999999999999" customHeight="1" x14ac:dyDescent="0.45">
      <c r="A35" s="65"/>
      <c r="B35" s="243"/>
      <c r="C35" s="212"/>
      <c r="D35" s="487"/>
      <c r="E35" s="487"/>
      <c r="F35" s="487"/>
      <c r="G35" s="76"/>
      <c r="H35" s="183"/>
      <c r="I35" s="513"/>
      <c r="J35" s="513"/>
      <c r="K35" s="83"/>
      <c r="L35" s="84"/>
      <c r="N35" s="145"/>
      <c r="O35" s="145"/>
      <c r="P35" s="145"/>
      <c r="Q35" s="63"/>
      <c r="R35" s="63"/>
    </row>
    <row r="36" spans="1:18" ht="20.149999999999999" customHeight="1" x14ac:dyDescent="0.45">
      <c r="A36" s="65"/>
      <c r="B36" s="243"/>
      <c r="C36" s="212"/>
      <c r="G36" s="76"/>
      <c r="H36" s="183"/>
      <c r="I36" s="209"/>
      <c r="J36" s="209"/>
      <c r="K36" s="83"/>
      <c r="L36" s="84"/>
      <c r="N36" s="145"/>
      <c r="O36" s="145"/>
      <c r="P36" s="145"/>
      <c r="Q36" s="63"/>
      <c r="R36" s="63"/>
    </row>
    <row r="37" spans="1:18" ht="20.149999999999999" customHeight="1" x14ac:dyDescent="0.45">
      <c r="A37" s="65"/>
      <c r="B37" s="139"/>
      <c r="C37" s="129"/>
      <c r="D37" s="140"/>
      <c r="E37" s="140"/>
      <c r="F37" s="140"/>
      <c r="G37" s="129"/>
      <c r="H37" s="138"/>
      <c r="I37" s="517"/>
      <c r="J37" s="517"/>
      <c r="K37" s="95"/>
      <c r="L37" s="98"/>
      <c r="M37" s="63"/>
      <c r="N37" s="63"/>
      <c r="Q37" s="63"/>
    </row>
    <row r="38" spans="1:18" ht="20.149999999999999" customHeight="1" thickBot="1" x14ac:dyDescent="0.5">
      <c r="A38" s="65"/>
      <c r="B38" s="141"/>
      <c r="C38" s="76"/>
      <c r="D38" s="65"/>
      <c r="E38" s="65"/>
      <c r="F38" s="65"/>
      <c r="G38" s="76"/>
      <c r="H38" s="82"/>
      <c r="I38" s="76"/>
      <c r="J38" s="76"/>
      <c r="K38" s="83"/>
      <c r="L38" s="84"/>
    </row>
    <row r="39" spans="1:18" ht="20.149999999999999" customHeight="1" x14ac:dyDescent="0.45">
      <c r="A39" s="65"/>
      <c r="B39" s="142" t="s">
        <v>16</v>
      </c>
      <c r="C39" s="135"/>
      <c r="D39" s="135"/>
      <c r="E39" s="135"/>
      <c r="F39" s="135"/>
      <c r="G39" s="135"/>
      <c r="H39" s="135"/>
      <c r="I39" s="135"/>
      <c r="J39" s="515" t="s">
        <v>13</v>
      </c>
      <c r="K39" s="516"/>
      <c r="L39" s="143">
        <f>SUM(L18:L38)</f>
        <v>268</v>
      </c>
      <c r="M39" s="63">
        <f>SUM(P18:P38)</f>
        <v>0</v>
      </c>
      <c r="N39" s="133">
        <f>M39/L39</f>
        <v>0</v>
      </c>
      <c r="Q39" s="133"/>
    </row>
    <row r="40" spans="1:18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v>0</v>
      </c>
      <c r="M40" s="63"/>
    </row>
    <row r="41" spans="1:18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91" t="s">
        <v>19</v>
      </c>
      <c r="K41" s="492"/>
      <c r="L41" s="41">
        <f>L39-L40</f>
        <v>268</v>
      </c>
    </row>
    <row r="42" spans="1:18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24.119999999999997</v>
      </c>
    </row>
    <row r="43" spans="1:18" ht="20.149999999999999" customHeight="1" thickBot="1" x14ac:dyDescent="0.5">
      <c r="B43" s="10" t="s">
        <v>676</v>
      </c>
      <c r="C43" s="6"/>
      <c r="D43" s="6"/>
      <c r="E43" s="6"/>
      <c r="F43" s="6"/>
      <c r="G43" s="6"/>
      <c r="H43" s="6"/>
      <c r="I43" s="6"/>
      <c r="J43" s="485" t="s">
        <v>21</v>
      </c>
      <c r="K43" s="486"/>
      <c r="L43" s="43">
        <f>SUM(L40:L42)</f>
        <v>292.12</v>
      </c>
    </row>
    <row r="44" spans="1:18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1:18" ht="18" customHeight="1" x14ac:dyDescent="0.45">
      <c r="B45" s="144" t="s">
        <v>666</v>
      </c>
      <c r="L45" s="37"/>
    </row>
    <row r="46" spans="1:18" ht="18" customHeight="1" x14ac:dyDescent="0.45">
      <c r="B46" s="36"/>
      <c r="L46" s="37"/>
      <c r="N46" s="176">
        <v>44641</v>
      </c>
      <c r="O46" s="19">
        <v>287.5</v>
      </c>
      <c r="P46" s="19">
        <v>54.36</v>
      </c>
      <c r="Q46" s="133">
        <f>P46/O46</f>
        <v>0.18907826086956522</v>
      </c>
    </row>
    <row r="47" spans="1:18" ht="18" customHeight="1" x14ac:dyDescent="0.45">
      <c r="B47" s="36"/>
      <c r="L47" s="37"/>
      <c r="N47" s="176"/>
      <c r="Q47" s="133"/>
    </row>
    <row r="48" spans="1:18" ht="18" customHeight="1" x14ac:dyDescent="0.45">
      <c r="B48" s="36"/>
      <c r="L48" s="37"/>
      <c r="N48" s="176"/>
      <c r="Q48" s="133"/>
    </row>
    <row r="49" spans="2:17" ht="18" customHeight="1" x14ac:dyDescent="0.45">
      <c r="B49" s="36"/>
      <c r="L49" s="37"/>
      <c r="N49" s="176"/>
      <c r="Q49" s="133"/>
    </row>
    <row r="50" spans="2:17" ht="18" customHeight="1" x14ac:dyDescent="0.45">
      <c r="B50" s="44"/>
      <c r="C50" s="45"/>
      <c r="D50" s="45"/>
      <c r="J50" s="45"/>
      <c r="K50" s="45"/>
      <c r="L50" s="46"/>
    </row>
    <row r="51" spans="2:17" ht="20.149999999999999" customHeight="1" x14ac:dyDescent="0.45">
      <c r="B51" s="36" t="s">
        <v>25</v>
      </c>
      <c r="J51" s="19" t="s">
        <v>26</v>
      </c>
      <c r="L51" s="37"/>
    </row>
    <row r="52" spans="2:17" ht="19" thickBot="1" x14ac:dyDescent="0.5">
      <c r="B52" s="47"/>
      <c r="C52" s="48"/>
      <c r="D52" s="48"/>
      <c r="E52" s="48"/>
      <c r="F52" s="48"/>
      <c r="G52" s="48"/>
      <c r="H52" s="48"/>
      <c r="I52" s="48"/>
      <c r="J52" s="48"/>
      <c r="K52" s="48"/>
      <c r="L52" s="49"/>
    </row>
    <row r="53" spans="2:17" ht="20.5" x14ac:dyDescent="0.45">
      <c r="F53" s="201"/>
    </row>
  </sheetData>
  <mergeCells count="51">
    <mergeCell ref="D29:F29"/>
    <mergeCell ref="D22:F22"/>
    <mergeCell ref="D28:F28"/>
    <mergeCell ref="I29:J29"/>
    <mergeCell ref="I22:J22"/>
    <mergeCell ref="I28:J28"/>
    <mergeCell ref="D35:F35"/>
    <mergeCell ref="I21:J21"/>
    <mergeCell ref="I34:J34"/>
    <mergeCell ref="I33:J33"/>
    <mergeCell ref="I19:J19"/>
    <mergeCell ref="I20:J20"/>
    <mergeCell ref="D23:F23"/>
    <mergeCell ref="I26:J26"/>
    <mergeCell ref="I32:J32"/>
    <mergeCell ref="D32:F32"/>
    <mergeCell ref="D24:F24"/>
    <mergeCell ref="D19:F19"/>
    <mergeCell ref="D34:F34"/>
    <mergeCell ref="D25:F25"/>
    <mergeCell ref="D27:F27"/>
    <mergeCell ref="D33:F33"/>
    <mergeCell ref="J43:K43"/>
    <mergeCell ref="I37:J37"/>
    <mergeCell ref="J39:K39"/>
    <mergeCell ref="J41:K41"/>
    <mergeCell ref="I35:J3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1:F21"/>
    <mergeCell ref="I27:J27"/>
    <mergeCell ref="I24:J24"/>
    <mergeCell ref="D26:F26"/>
    <mergeCell ref="I25:J25"/>
    <mergeCell ref="I23:J23"/>
    <mergeCell ref="I17:J17"/>
    <mergeCell ref="D17:F17"/>
    <mergeCell ref="D20:F20"/>
    <mergeCell ref="I18:J18"/>
    <mergeCell ref="D18:F18"/>
  </mergeCells>
  <hyperlinks>
    <hyperlink ref="B15" r:id="rId1" xr:uid="{46B2BC83-90EC-4F5B-9E85-B926CF2C3522}"/>
  </hyperlinks>
  <pageMargins left="0.51181102362204722" right="0.39370078740157483" top="0" bottom="0" header="0.31496062992125984" footer="0.31496062992125984"/>
  <pageSetup paperSize="9" scale="72" orientation="portrait" r:id="rId2"/>
  <drawing r:id="rId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30234-B69C-488D-8020-C14B98C1D502}">
  <sheetPr codeName="Sheet32">
    <tabColor rgb="FFFFC000"/>
    <pageSetUpPr fitToPage="1"/>
  </sheetPr>
  <dimension ref="B1:V1048574"/>
  <sheetViews>
    <sheetView topLeftCell="B23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1174</v>
      </c>
      <c r="J10" s="24" t="s">
        <v>27</v>
      </c>
      <c r="K10" s="464">
        <v>202409629</v>
      </c>
      <c r="L10" s="465"/>
    </row>
    <row r="11" spans="2:12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 xml:space="preserve">FOOD REPUBLIC PTE LTD                                   Parkway Parade @Juice Bar                     80 Marine Parade Road #B1-85        Singapore 449269                            </v>
      </c>
      <c r="G11" s="470"/>
      <c r="H11" s="471"/>
      <c r="J11" s="26" t="s">
        <v>9</v>
      </c>
      <c r="K11" s="478">
        <v>45563</v>
      </c>
      <c r="L11" s="479"/>
    </row>
    <row r="12" spans="2:12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/>
      <c r="C18" s="212" t="s">
        <v>1272</v>
      </c>
      <c r="D18" s="487" t="str">
        <f>VLOOKUP(C18,'Sales Master'!B$3:D$537,2,)</f>
        <v>Rock Sugar Syrup 冰糖浆</v>
      </c>
      <c r="E18" s="487"/>
      <c r="F18" s="487"/>
      <c r="G18" s="76">
        <v>6</v>
      </c>
      <c r="H18" s="183" t="str">
        <f>VLOOKUP(C18,'Sales Master'!$B$3:$F$2420,5,0)</f>
        <v>5 KG</v>
      </c>
      <c r="I18" s="513" t="str">
        <f>VLOOKUP(C18,'Sales Master'!$B$3:$E$2420,4,0)</f>
        <v>DO!</v>
      </c>
      <c r="J18" s="513"/>
      <c r="K18" s="83">
        <f>VLOOKUP(C18,'Sales Master'!B$3:I$537,8,0)</f>
        <v>11</v>
      </c>
      <c r="L18" s="84">
        <f>K18*G18</f>
        <v>66</v>
      </c>
      <c r="N18" s="145">
        <f>VLOOKUP(C18,'Sales Master'!$B$3:$DA$2279,104,0)</f>
        <v>5.86</v>
      </c>
      <c r="O18" s="145">
        <f>K18-N18</f>
        <v>5.14</v>
      </c>
      <c r="P18" s="145">
        <f>O18*G18</f>
        <v>30.839999999999996</v>
      </c>
      <c r="R18" s="93">
        <v>1</v>
      </c>
      <c r="S18" s="93" t="s">
        <v>200</v>
      </c>
      <c r="T18" s="93" t="s">
        <v>429</v>
      </c>
      <c r="U18" s="93"/>
      <c r="V18" s="93">
        <v>32</v>
      </c>
    </row>
    <row r="19" spans="2:22" ht="20.149999999999999" customHeight="1" x14ac:dyDescent="0.45">
      <c r="B19" s="29"/>
      <c r="C19" s="212" t="s">
        <v>1158</v>
      </c>
      <c r="D19" s="487" t="str">
        <f>VLOOKUP(C19,'Sales Master'!B$3:D$537,2,)</f>
        <v>Dried Roselle 洛神花</v>
      </c>
      <c r="E19" s="487"/>
      <c r="F19" s="487"/>
      <c r="G19" s="76">
        <v>1</v>
      </c>
      <c r="H19" s="183" t="str">
        <f>VLOOKUP(C19,'Sales Master'!$B$3:$F$2420,5,0)</f>
        <v>1 KG</v>
      </c>
      <c r="I19" s="513" t="str">
        <f>VLOOKUP(C19,'Sales Master'!$B$3:$E$2420,4,0)</f>
        <v>China</v>
      </c>
      <c r="J19" s="513"/>
      <c r="K19" s="83">
        <f>VLOOKUP(C19,'Sales Master'!B$3:I$537,8,0)</f>
        <v>22</v>
      </c>
      <c r="L19" s="84">
        <f>K19*G19</f>
        <v>22</v>
      </c>
      <c r="N19" s="145">
        <f>VLOOKUP(C19,'Sales Master'!$B$3:$DA$2279,104,0)</f>
        <v>17</v>
      </c>
      <c r="O19" s="145">
        <f>K19-N19</f>
        <v>5</v>
      </c>
      <c r="P19" s="145">
        <f>O19*G19</f>
        <v>5</v>
      </c>
    </row>
    <row r="20" spans="2:22" ht="20.149999999999999" customHeight="1" x14ac:dyDescent="0.45">
      <c r="B20" s="29"/>
      <c r="C20" s="212"/>
      <c r="D20" s="524"/>
      <c r="E20" s="524"/>
      <c r="F20" s="524"/>
      <c r="G20" s="76"/>
      <c r="H20" s="183"/>
      <c r="I20" s="513"/>
      <c r="J20" s="513"/>
      <c r="K20" s="83"/>
      <c r="L20" s="84"/>
      <c r="N20" s="145"/>
      <c r="O20" s="145"/>
      <c r="P20" s="145"/>
    </row>
    <row r="21" spans="2:22" ht="20.149999999999999" customHeight="1" x14ac:dyDescent="0.45">
      <c r="B21" s="29"/>
      <c r="C21" s="17"/>
      <c r="G21" s="76"/>
      <c r="H21" s="56"/>
      <c r="I21" s="56"/>
      <c r="J21" s="56"/>
      <c r="K21" s="30"/>
      <c r="L21" s="31"/>
    </row>
    <row r="22" spans="2:22" ht="20.149999999999999" customHeight="1" x14ac:dyDescent="0.45">
      <c r="B22" s="29"/>
      <c r="C22" s="17"/>
      <c r="G22" s="76"/>
      <c r="H22" s="56"/>
      <c r="I22" s="56"/>
      <c r="J22" s="56"/>
      <c r="K22" s="30"/>
      <c r="L22" s="31"/>
    </row>
    <row r="23" spans="2:22" ht="20.149999999999999" customHeight="1" x14ac:dyDescent="0.45">
      <c r="B23" s="29"/>
      <c r="C23" s="17"/>
      <c r="G23" s="76"/>
      <c r="H23" s="56"/>
      <c r="I23" s="56"/>
      <c r="J23" s="56"/>
      <c r="K23" s="30"/>
      <c r="L23" s="31"/>
    </row>
    <row r="24" spans="2:22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31"/>
    </row>
    <row r="25" spans="2:22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31"/>
    </row>
    <row r="26" spans="2:22" ht="20.149999999999999" customHeight="1" x14ac:dyDescent="0.45">
      <c r="B26" s="29"/>
      <c r="C26" s="17"/>
      <c r="D26" s="487"/>
      <c r="E26" s="487"/>
      <c r="F26" s="487"/>
      <c r="G26" s="76"/>
      <c r="H26" s="56"/>
      <c r="I26" s="494"/>
      <c r="J26" s="494"/>
      <c r="K26" s="30"/>
      <c r="L26" s="31"/>
    </row>
    <row r="27" spans="2:22" ht="20.149999999999999" customHeight="1" x14ac:dyDescent="0.45">
      <c r="B27" s="29"/>
      <c r="C27" s="17"/>
      <c r="G27" s="76"/>
      <c r="H27" s="56"/>
      <c r="I27" s="56"/>
      <c r="J27" s="56"/>
      <c r="K27" s="30"/>
      <c r="L27" s="31"/>
    </row>
    <row r="28" spans="2:22" ht="20.149999999999999" customHeight="1" x14ac:dyDescent="0.45">
      <c r="B28" s="104"/>
      <c r="C28" s="105"/>
      <c r="D28" s="514"/>
      <c r="E28" s="514"/>
      <c r="F28" s="514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SUM(L18:L29)</f>
        <v>88</v>
      </c>
      <c r="M30" s="63">
        <f>SUM(P18:P28)</f>
        <v>35.839999999999996</v>
      </c>
      <c r="N30" s="133">
        <f>M30/L30</f>
        <v>0.40727272727272723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88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7.92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95.92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666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1048574" spans="8:16" x14ac:dyDescent="0.45">
      <c r="H1048574" s="183"/>
      <c r="I1048574" s="513"/>
      <c r="J1048574" s="513"/>
      <c r="K1048574" s="83"/>
      <c r="L1048574" s="83"/>
      <c r="N1048574" s="233"/>
      <c r="O1048574" s="233"/>
      <c r="P1048574" s="233"/>
    </row>
  </sheetData>
  <mergeCells count="32">
    <mergeCell ref="I1048574:J1048574"/>
    <mergeCell ref="J34:K34"/>
    <mergeCell ref="D25:F25"/>
    <mergeCell ref="I25:J25"/>
    <mergeCell ref="D26:F26"/>
    <mergeCell ref="I26:J26"/>
    <mergeCell ref="D28:F28"/>
    <mergeCell ref="J30:K30"/>
    <mergeCell ref="J32:K32"/>
    <mergeCell ref="D24:F24"/>
    <mergeCell ref="I24:J24"/>
    <mergeCell ref="I17:J17"/>
    <mergeCell ref="D18:F18"/>
    <mergeCell ref="I18:J18"/>
    <mergeCell ref="D17:F17"/>
    <mergeCell ref="D20:F20"/>
    <mergeCell ref="I20:J20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77" priority="1"/>
  </conditionalFormatting>
  <conditionalFormatting sqref="C19:C23">
    <cfRule type="duplicateValues" dxfId="76" priority="2181"/>
  </conditionalFormatting>
  <conditionalFormatting sqref="C24">
    <cfRule type="duplicateValues" dxfId="75" priority="3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6BADF-D803-443C-B793-1689B86F61BA}">
  <sheetPr codeName="Sheet29">
    <tabColor rgb="FF7030A0"/>
    <pageSetUpPr fitToPage="1"/>
  </sheetPr>
  <dimension ref="B1:V44"/>
  <sheetViews>
    <sheetView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1175</v>
      </c>
      <c r="J10" s="24" t="s">
        <v>27</v>
      </c>
      <c r="K10" s="464">
        <v>202403441</v>
      </c>
      <c r="L10" s="465"/>
    </row>
    <row r="11" spans="2:12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 xml:space="preserve">FOOD REPUBLIC PTE LTD                                  City Square@Juice Bar                                        180 Kitchener Road #04-31                  Singapore 208539                                           </v>
      </c>
      <c r="G11" s="470"/>
      <c r="H11" s="471"/>
      <c r="J11" s="26" t="s">
        <v>9</v>
      </c>
      <c r="K11" s="478">
        <v>45370</v>
      </c>
      <c r="L11" s="479"/>
    </row>
    <row r="12" spans="2:12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/>
      <c r="C18" s="17" t="s">
        <v>892</v>
      </c>
      <c r="D18" s="487" t="str">
        <f>VLOOKUP(C18,'Sales Master'!B$3:D$537,2,)</f>
        <v>Sour Plum 酸梅(无子)</v>
      </c>
      <c r="E18" s="487"/>
      <c r="F18" s="487"/>
      <c r="G18" s="76">
        <v>3</v>
      </c>
      <c r="H18" s="183" t="str">
        <f>VLOOKUP(C18,'Sales Master'!$B$3:$F$2420,5,0)</f>
        <v>1 kg</v>
      </c>
      <c r="I18" s="513" t="str">
        <f>VLOOKUP(C18,'Sales Master'!$B$3:$E$2420,4,0)</f>
        <v>-</v>
      </c>
      <c r="J18" s="513"/>
      <c r="K18" s="83">
        <f>VLOOKUP(C18,'Sales Master'!B$3:I$537,8,0)</f>
        <v>19</v>
      </c>
      <c r="L18" s="84">
        <f>K18*G18</f>
        <v>57</v>
      </c>
      <c r="N18" s="145">
        <f>VLOOKUP(C18,'Sales Master'!$B$3:$DA$2279,104,0)</f>
        <v>14.533333333333333</v>
      </c>
      <c r="O18" s="145">
        <f>K18-N18</f>
        <v>4.4666666666666668</v>
      </c>
      <c r="P18" s="145">
        <f>O18*G18</f>
        <v>13.4</v>
      </c>
      <c r="Q18" s="170"/>
      <c r="R18" s="93"/>
      <c r="S18" s="93" t="s">
        <v>200</v>
      </c>
      <c r="T18" s="93" t="s">
        <v>429</v>
      </c>
      <c r="U18" s="93"/>
      <c r="V18" s="93">
        <v>32</v>
      </c>
    </row>
    <row r="19" spans="2:22" ht="20.149999999999999" customHeight="1" x14ac:dyDescent="0.45">
      <c r="B19" s="58"/>
      <c r="C19" s="17"/>
      <c r="D19" s="487"/>
      <c r="E19" s="487"/>
      <c r="F19" s="487"/>
      <c r="G19" s="76"/>
      <c r="H19" s="82"/>
      <c r="I19" s="447"/>
      <c r="J19" s="447"/>
      <c r="K19" s="83"/>
      <c r="L19" s="96"/>
      <c r="N19" s="145"/>
      <c r="O19" s="145"/>
      <c r="P19" s="145"/>
      <c r="Q19" s="170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87"/>
      <c r="E20" s="487"/>
      <c r="F20" s="487"/>
      <c r="G20" s="76"/>
      <c r="H20" s="56"/>
      <c r="I20" s="494"/>
      <c r="J20" s="494"/>
      <c r="K20" s="30"/>
      <c r="L20" s="31"/>
    </row>
    <row r="21" spans="2:22" ht="20.149999999999999" customHeight="1" x14ac:dyDescent="0.45">
      <c r="B21" s="29"/>
      <c r="C21" s="17"/>
      <c r="D21" s="487"/>
      <c r="E21" s="487"/>
      <c r="F21" s="487"/>
      <c r="G21" s="76"/>
      <c r="H21" s="56"/>
      <c r="I21" s="494"/>
      <c r="J21" s="494"/>
      <c r="K21" s="30"/>
      <c r="L21" s="31"/>
    </row>
    <row r="22" spans="2:22" ht="20.149999999999999" customHeight="1" x14ac:dyDescent="0.45">
      <c r="B22" s="29"/>
      <c r="C22" s="17"/>
      <c r="D22" s="487"/>
      <c r="E22" s="487"/>
      <c r="F22" s="487"/>
      <c r="G22" s="76"/>
      <c r="H22" s="56"/>
      <c r="I22" s="494"/>
      <c r="J22" s="494"/>
      <c r="K22" s="30"/>
      <c r="L22" s="31"/>
    </row>
    <row r="23" spans="2:22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31"/>
    </row>
    <row r="24" spans="2:22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31"/>
    </row>
    <row r="25" spans="2:22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31"/>
    </row>
    <row r="26" spans="2:22" ht="20.149999999999999" customHeight="1" x14ac:dyDescent="0.45">
      <c r="B26" s="29"/>
      <c r="C26" s="17"/>
      <c r="D26" s="487"/>
      <c r="E26" s="487"/>
      <c r="F26" s="487"/>
      <c r="G26" s="76"/>
      <c r="H26" s="56"/>
      <c r="I26" s="494"/>
      <c r="J26" s="494"/>
      <c r="K26" s="30"/>
      <c r="L26" s="31"/>
    </row>
    <row r="27" spans="2:22" ht="20.149999999999999" customHeight="1" x14ac:dyDescent="0.45">
      <c r="B27" s="29"/>
      <c r="C27" s="17"/>
      <c r="D27" s="487"/>
      <c r="E27" s="487"/>
      <c r="F27" s="487"/>
      <c r="G27" s="76"/>
      <c r="H27" s="56"/>
      <c r="I27" s="494"/>
      <c r="J27" s="494"/>
      <c r="K27" s="30"/>
      <c r="L27" s="31"/>
    </row>
    <row r="28" spans="2:22" ht="20.149999999999999" customHeight="1" x14ac:dyDescent="0.45">
      <c r="B28" s="29"/>
      <c r="C28" s="17"/>
      <c r="D28" s="487"/>
      <c r="E28" s="487"/>
      <c r="F28" s="487"/>
      <c r="G28" s="76"/>
      <c r="H28" s="56"/>
      <c r="I28" s="494"/>
      <c r="J28" s="494"/>
      <c r="K28" s="30"/>
      <c r="L28" s="31"/>
    </row>
    <row r="29" spans="2:22" ht="20.149999999999999" customHeight="1" x14ac:dyDescent="0.45">
      <c r="B29" s="29"/>
      <c r="C29" s="17"/>
      <c r="G29" s="76"/>
      <c r="H29" s="56"/>
      <c r="I29" s="56"/>
      <c r="J29" s="56"/>
      <c r="K29" s="30"/>
      <c r="L29" s="31"/>
    </row>
    <row r="30" spans="2:22" ht="20.149999999999999" customHeight="1" x14ac:dyDescent="0.45">
      <c r="B30" s="104"/>
      <c r="C30" s="105"/>
      <c r="D30" s="514"/>
      <c r="E30" s="514"/>
      <c r="F30" s="514"/>
      <c r="G30" s="105"/>
      <c r="H30" s="105"/>
      <c r="I30" s="124"/>
      <c r="J30" s="124"/>
      <c r="K30" s="108"/>
      <c r="L30" s="12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89" t="s">
        <v>13</v>
      </c>
      <c r="K32" s="490"/>
      <c r="L32" s="38">
        <f>SUM(L18:L31)</f>
        <v>57</v>
      </c>
      <c r="M32" s="63">
        <f>SUM(P18:P29)</f>
        <v>13.4</v>
      </c>
      <c r="N32" s="133">
        <f>M32/L32</f>
        <v>0.23508771929824562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91" t="s">
        <v>19</v>
      </c>
      <c r="K34" s="492"/>
      <c r="L34" s="41">
        <f>L32-L33</f>
        <v>57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5.13</v>
      </c>
    </row>
    <row r="36" spans="2:12" ht="20.149999999999999" customHeight="1" thickBot="1" x14ac:dyDescent="0.5">
      <c r="B36" s="10" t="s">
        <v>676</v>
      </c>
      <c r="C36" s="6"/>
      <c r="D36" s="6"/>
      <c r="E36" s="6"/>
      <c r="F36" s="6"/>
      <c r="G36" s="6"/>
      <c r="H36" s="6"/>
      <c r="I36" s="6"/>
      <c r="J36" s="485" t="s">
        <v>21</v>
      </c>
      <c r="K36" s="486"/>
      <c r="L36" s="43">
        <f>L34+L35</f>
        <v>62.13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666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1">
    <mergeCell ref="D24:F24"/>
    <mergeCell ref="I24:J24"/>
    <mergeCell ref="J36:K36"/>
    <mergeCell ref="D25:F25"/>
    <mergeCell ref="I25:J25"/>
    <mergeCell ref="D26:F26"/>
    <mergeCell ref="I26:J26"/>
    <mergeCell ref="D27:F27"/>
    <mergeCell ref="I27:J27"/>
    <mergeCell ref="D28:F28"/>
    <mergeCell ref="I28:J28"/>
    <mergeCell ref="D30:F30"/>
    <mergeCell ref="J32:K32"/>
    <mergeCell ref="J34:K34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74" priority="1"/>
  </conditionalFormatting>
  <conditionalFormatting sqref="C19">
    <cfRule type="duplicateValues" dxfId="73" priority="2"/>
  </conditionalFormatting>
  <conditionalFormatting sqref="C20">
    <cfRule type="duplicateValues" dxfId="72" priority="6"/>
  </conditionalFormatting>
  <conditionalFormatting sqref="C21">
    <cfRule type="duplicateValues" dxfId="71" priority="7"/>
  </conditionalFormatting>
  <conditionalFormatting sqref="C22">
    <cfRule type="duplicateValues" dxfId="70" priority="4"/>
  </conditionalFormatting>
  <conditionalFormatting sqref="C23">
    <cfRule type="duplicateValues" dxfId="69" priority="3"/>
  </conditionalFormatting>
  <conditionalFormatting sqref="C25">
    <cfRule type="duplicateValues" dxfId="68" priority="9"/>
  </conditionalFormatting>
  <pageMargins left="0.70866141732283505" right="0.31496062992126" top="0.59055118110236204" bottom="0" header="0.31496062992126" footer="0.31496062992126"/>
  <pageSetup paperSize="9" scale="76" orientation="portrait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555C5-B5FE-4737-92EA-E8611830920C}">
  <sheetPr codeName="Sheet33">
    <tabColor rgb="FFFFC000"/>
    <pageSetUpPr fitToPage="1"/>
  </sheetPr>
  <dimension ref="B1:V1048559"/>
  <sheetViews>
    <sheetView topLeftCell="A18" zoomScaleNormal="100" workbookViewId="0">
      <selection activeCell="D25" sqref="D25:F2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1178</v>
      </c>
      <c r="J10" s="24" t="s">
        <v>27</v>
      </c>
      <c r="K10" s="464">
        <v>202504192</v>
      </c>
      <c r="L10" s="465"/>
    </row>
    <row r="11" spans="2:12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 xml:space="preserve">FOOD REPUBLIC PTE LTD                                   Suntec City@Juice Bar                                            3, Temasek Boulevard #B1-115             Suntec City Mall Singapore 038983                          </v>
      </c>
      <c r="G11" s="470"/>
      <c r="H11" s="471"/>
      <c r="J11" s="26" t="s">
        <v>9</v>
      </c>
      <c r="K11" s="478">
        <v>45755</v>
      </c>
      <c r="L11" s="479"/>
    </row>
    <row r="12" spans="2:12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>
        <v>4500362640</v>
      </c>
      <c r="L12" s="483"/>
    </row>
    <row r="13" spans="2:12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520713</v>
      </c>
      <c r="C18" s="212" t="str">
        <f>VLOOKUP(B18,'Sales Master'!A$3:B$537,2,0)</f>
        <v>P3062</v>
      </c>
      <c r="D18" s="487" t="str">
        <f>VLOOKUP(C18,'Sales Master'!B$3:D$537,2,)</f>
        <v>Dried Roselle 洛神花</v>
      </c>
      <c r="E18" s="487"/>
      <c r="F18" s="487"/>
      <c r="G18" s="76">
        <v>2</v>
      </c>
      <c r="H18" s="183" t="str">
        <f>VLOOKUP(C18,'Sales Master'!$B$3:$F$2420,5,0)</f>
        <v>1 KG</v>
      </c>
      <c r="I18" s="513" t="str">
        <f>VLOOKUP(C18,'Sales Master'!$B$3:$E$2420,4,0)</f>
        <v>China</v>
      </c>
      <c r="J18" s="513"/>
      <c r="K18" s="83">
        <f>VLOOKUP(C18,'Sales Master'!B$3:I$537,8,0)</f>
        <v>22</v>
      </c>
      <c r="L18" s="84">
        <f>K18*G18</f>
        <v>44</v>
      </c>
      <c r="S18" s="93" t="s">
        <v>200</v>
      </c>
      <c r="T18" s="93" t="s">
        <v>429</v>
      </c>
      <c r="U18" s="93"/>
      <c r="V18" s="93">
        <v>32</v>
      </c>
    </row>
    <row r="19" spans="2:22" ht="20.149999999999999" customHeight="1" x14ac:dyDescent="0.45">
      <c r="B19" s="58">
        <v>520740</v>
      </c>
      <c r="C19" s="212" t="str">
        <f>VLOOKUP(B19,'Sales Master'!A$3:B$537,2,0)</f>
        <v>M1037A</v>
      </c>
      <c r="D19" s="487" t="str">
        <f>VLOOKUP(C19,'Sales Master'!B$3:D$537,2,)</f>
        <v>Rock Sugar Syrup 冰糖浆</v>
      </c>
      <c r="E19" s="487"/>
      <c r="F19" s="487"/>
      <c r="G19" s="76">
        <v>8</v>
      </c>
      <c r="H19" s="183" t="str">
        <f>VLOOKUP(C19,'Sales Master'!$B$3:$F$2420,5,0)</f>
        <v>5 KG</v>
      </c>
      <c r="I19" s="513" t="str">
        <f>VLOOKUP(C19,'Sales Master'!$B$3:$E$2420,4,0)</f>
        <v>DO!</v>
      </c>
      <c r="J19" s="513"/>
      <c r="K19" s="83">
        <f>VLOOKUP(C19,'Sales Master'!B$3:I$537,8,0)</f>
        <v>11</v>
      </c>
      <c r="L19" s="84">
        <f t="shared" ref="L19" si="0">K19*G19</f>
        <v>88</v>
      </c>
    </row>
    <row r="20" spans="2:22" ht="20.149999999999999" customHeight="1" x14ac:dyDescent="0.45">
      <c r="B20" s="58"/>
      <c r="C20" s="212"/>
      <c r="D20" s="487"/>
      <c r="E20" s="487"/>
      <c r="F20" s="487"/>
      <c r="G20" s="76"/>
      <c r="H20" s="183"/>
      <c r="I20" s="513"/>
      <c r="J20" s="513"/>
      <c r="K20" s="83"/>
      <c r="L20" s="84"/>
    </row>
    <row r="21" spans="2:22" ht="20.149999999999999" customHeight="1" x14ac:dyDescent="0.45">
      <c r="B21" s="58"/>
      <c r="C21" s="212"/>
      <c r="D21" s="487"/>
      <c r="E21" s="487"/>
      <c r="F21" s="487"/>
      <c r="G21" s="76"/>
      <c r="H21" s="183"/>
      <c r="I21" s="513"/>
      <c r="J21" s="513"/>
      <c r="K21" s="83"/>
      <c r="L21" s="84"/>
    </row>
    <row r="22" spans="2:22" ht="20.149999999999999" customHeight="1" x14ac:dyDescent="0.45">
      <c r="B22" s="58"/>
      <c r="C22" s="212"/>
      <c r="D22" s="487"/>
      <c r="E22" s="487"/>
      <c r="F22" s="487"/>
      <c r="G22" s="76"/>
      <c r="H22" s="183"/>
      <c r="I22" s="513"/>
      <c r="J22" s="513"/>
      <c r="K22" s="83"/>
      <c r="L22" s="84"/>
    </row>
    <row r="23" spans="2:22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31"/>
    </row>
    <row r="24" spans="2:22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31"/>
    </row>
    <row r="25" spans="2:22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31"/>
    </row>
    <row r="26" spans="2:22" ht="20.149999999999999" customHeight="1" x14ac:dyDescent="0.45">
      <c r="B26" s="29"/>
      <c r="C26" s="17"/>
      <c r="G26" s="76"/>
      <c r="H26" s="56"/>
      <c r="I26" s="56"/>
      <c r="J26" s="56"/>
      <c r="K26" s="30"/>
      <c r="L26" s="31"/>
    </row>
    <row r="27" spans="2:22" ht="20.149999999999999" customHeight="1" x14ac:dyDescent="0.45">
      <c r="B27" s="104"/>
      <c r="C27" s="105"/>
      <c r="D27" s="514"/>
      <c r="E27" s="514"/>
      <c r="F27" s="514"/>
      <c r="G27" s="105"/>
      <c r="H27" s="105"/>
      <c r="I27" s="124"/>
      <c r="J27" s="124"/>
      <c r="K27" s="108"/>
      <c r="L27" s="125"/>
    </row>
    <row r="28" spans="2:22" ht="20.149999999999999" customHeight="1" thickBot="1" x14ac:dyDescent="0.5">
      <c r="B28" s="36"/>
      <c r="L28" s="37"/>
    </row>
    <row r="29" spans="2:22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89" t="s">
        <v>13</v>
      </c>
      <c r="K29" s="490"/>
      <c r="L29" s="38">
        <f>SUM(L18:L28)</f>
        <v>132</v>
      </c>
      <c r="M29" s="63">
        <f>SUM(P18:P20)</f>
        <v>0</v>
      </c>
      <c r="N29" s="133">
        <f>M29/L29</f>
        <v>0</v>
      </c>
    </row>
    <row r="30" spans="2:22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22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91" t="s">
        <v>19</v>
      </c>
      <c r="K31" s="492"/>
      <c r="L31" s="41">
        <f>L29-L30</f>
        <v>132</v>
      </c>
    </row>
    <row r="32" spans="2:22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11.879999999999999</v>
      </c>
    </row>
    <row r="33" spans="2:12" ht="20.149999999999999" customHeight="1" thickBot="1" x14ac:dyDescent="0.5">
      <c r="B33" s="10" t="s">
        <v>676</v>
      </c>
      <c r="C33" s="6"/>
      <c r="D33" s="6"/>
      <c r="E33" s="6"/>
      <c r="F33" s="6"/>
      <c r="G33" s="6"/>
      <c r="H33" s="6"/>
      <c r="I33" s="6"/>
      <c r="J33" s="485" t="s">
        <v>21</v>
      </c>
      <c r="K33" s="486"/>
      <c r="L33" s="43">
        <f>L31+L32</f>
        <v>143.88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144" t="s">
        <v>666</v>
      </c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  <row r="1048559" spans="8:16" x14ac:dyDescent="0.45">
      <c r="H1048559" s="183"/>
      <c r="I1048559" s="513"/>
      <c r="J1048559" s="513"/>
      <c r="K1048559" s="83"/>
      <c r="L1048559" s="84"/>
      <c r="N1048559" s="145"/>
      <c r="O1048559" s="145"/>
      <c r="P1048559" s="145"/>
    </row>
  </sheetData>
  <mergeCells count="36">
    <mergeCell ref="I1048559:J1048559"/>
    <mergeCell ref="D21:F21"/>
    <mergeCell ref="I21:J21"/>
    <mergeCell ref="J33:K33"/>
    <mergeCell ref="D19:F19"/>
    <mergeCell ref="I19:J19"/>
    <mergeCell ref="D23:F23"/>
    <mergeCell ref="I23:J23"/>
    <mergeCell ref="D24:F24"/>
    <mergeCell ref="I24:J24"/>
    <mergeCell ref="D25:F25"/>
    <mergeCell ref="I25:J25"/>
    <mergeCell ref="D27:F27"/>
    <mergeCell ref="J29:K29"/>
    <mergeCell ref="J31:K31"/>
    <mergeCell ref="D20:F20"/>
    <mergeCell ref="I20:J20"/>
    <mergeCell ref="I17:J17"/>
    <mergeCell ref="D22:F22"/>
    <mergeCell ref="I22:J22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22">
    <cfRule type="duplicateValues" dxfId="67" priority="4"/>
  </conditionalFormatting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A4297-DFCB-4518-B27E-8716EBA557BF}">
  <sheetPr codeName="Sheet24">
    <tabColor rgb="FF7030A0"/>
    <pageSetUpPr fitToPage="1"/>
  </sheetPr>
  <dimension ref="B1:V42"/>
  <sheetViews>
    <sheetView topLeftCell="A12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1183</v>
      </c>
      <c r="J10" s="24" t="s">
        <v>27</v>
      </c>
      <c r="K10" s="464">
        <v>202412236</v>
      </c>
      <c r="L10" s="465"/>
    </row>
    <row r="11" spans="2:14" ht="20.149999999999999" customHeight="1" x14ac:dyDescent="0.45">
      <c r="B11" s="466" t="s">
        <v>1185</v>
      </c>
      <c r="C11" s="467"/>
      <c r="D11" s="468"/>
      <c r="E11" s="25"/>
      <c r="F11" s="469" t="str">
        <f>VLOOKUP(H10,'Delivery Location'!A$4:N$466,2,0)</f>
        <v>SELETAR COUNTRY CLUB                                   101, Seletar Club Road. Singapore 798273</v>
      </c>
      <c r="G11" s="470"/>
      <c r="H11" s="471"/>
      <c r="J11" s="26" t="s">
        <v>9</v>
      </c>
      <c r="K11" s="478">
        <v>45637</v>
      </c>
      <c r="L11" s="479"/>
    </row>
    <row r="12" spans="2:14" ht="20.149999999999999" customHeight="1" x14ac:dyDescent="0.45">
      <c r="B12" s="480" t="s">
        <v>1186</v>
      </c>
      <c r="C12" s="453"/>
      <c r="D12" s="481"/>
      <c r="E12" s="25"/>
      <c r="F12" s="472"/>
      <c r="G12" s="473"/>
      <c r="H12" s="474"/>
      <c r="J12" s="26" t="s">
        <v>127</v>
      </c>
      <c r="K12" s="500" t="s">
        <v>2216</v>
      </c>
      <c r="L12" s="483"/>
    </row>
    <row r="13" spans="2:14" ht="20.149999999999999" customHeight="1" x14ac:dyDescent="0.45">
      <c r="B13" s="480" t="s">
        <v>1187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4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508"/>
      <c r="C15" s="509"/>
      <c r="D15" s="510"/>
      <c r="E15" s="21"/>
      <c r="F15" s="475"/>
      <c r="G15" s="476"/>
      <c r="H15" s="477"/>
      <c r="J15" s="27" t="s">
        <v>11</v>
      </c>
      <c r="K15" s="119" t="s">
        <v>587</v>
      </c>
      <c r="L15" s="118"/>
    </row>
    <row r="16" spans="2:14" ht="19" thickBot="1" x14ac:dyDescent="0.5">
      <c r="J16" s="17"/>
      <c r="N16" s="93"/>
    </row>
    <row r="17" spans="2:22" ht="48.6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x14ac:dyDescent="0.45">
      <c r="B18" s="259" t="s">
        <v>1251</v>
      </c>
      <c r="C18" s="212" t="str">
        <f>VLOOKUP(B18,'Sales Master'!A$3:B$537,2,0)</f>
        <v>M1036B</v>
      </c>
      <c r="D18" s="521" t="str">
        <f>VLOOKUP(C18,'Sales Master'!B$3:D$537,2,)</f>
        <v>Snow Ice - Mango 雪花冰-芒果</v>
      </c>
      <c r="E18" s="521"/>
      <c r="F18" s="521"/>
      <c r="G18" s="76">
        <v>8</v>
      </c>
      <c r="H18" s="209" t="str">
        <f>VLOOKUP(C18,'Sales Master'!$B$3:$F$2420,5,0)</f>
        <v>2 KG/ Pkt包</v>
      </c>
      <c r="I18" s="568" t="str">
        <f>VLOOKUP(C18,'Sales Master'!$B$3:$E$2420,4,0)</f>
        <v>T1</v>
      </c>
      <c r="J18" s="568"/>
      <c r="K18" s="83">
        <f>VLOOKUP(C18,'Sales Master'!$B$3:$CF$2293,83,0)</f>
        <v>12.8</v>
      </c>
      <c r="L18" s="84">
        <f>K18*G18</f>
        <v>102.4</v>
      </c>
      <c r="M18" s="65"/>
      <c r="N18" s="145">
        <f>VLOOKUP(C18,'Sales Master'!$B$3:$DA$2279,104,0)</f>
        <v>9</v>
      </c>
      <c r="O18" s="145">
        <f>K18-N18</f>
        <v>3.8000000000000007</v>
      </c>
      <c r="P18" s="145">
        <f>O18*G18</f>
        <v>30.400000000000006</v>
      </c>
      <c r="R18" s="19">
        <v>2</v>
      </c>
      <c r="S18" s="19" t="s">
        <v>34</v>
      </c>
      <c r="T18" s="19" t="s">
        <v>59</v>
      </c>
      <c r="V18" s="19">
        <v>6</v>
      </c>
    </row>
    <row r="19" spans="2:22" x14ac:dyDescent="0.45">
      <c r="B19" s="362"/>
      <c r="C19" s="212"/>
      <c r="D19" s="533"/>
      <c r="E19" s="533"/>
      <c r="F19" s="533"/>
      <c r="G19" s="76"/>
      <c r="H19" s="209"/>
      <c r="I19" s="568"/>
      <c r="J19" s="568"/>
      <c r="K19" s="83"/>
      <c r="L19" s="84"/>
      <c r="M19" s="65"/>
      <c r="N19" s="145"/>
      <c r="O19" s="145"/>
      <c r="P19" s="145"/>
    </row>
    <row r="20" spans="2:22" ht="20.149999999999999" customHeight="1" x14ac:dyDescent="0.45">
      <c r="B20" s="259"/>
      <c r="C20" s="212"/>
      <c r="D20" s="524"/>
      <c r="E20" s="524"/>
      <c r="F20" s="524"/>
      <c r="G20" s="76"/>
      <c r="H20" s="209"/>
      <c r="I20" s="568"/>
      <c r="J20" s="568"/>
      <c r="K20" s="83"/>
      <c r="L20" s="84"/>
      <c r="M20" s="65"/>
      <c r="N20" s="145"/>
      <c r="O20" s="145"/>
      <c r="P20" s="145"/>
    </row>
    <row r="21" spans="2:22" ht="20.149999999999999" customHeight="1" x14ac:dyDescent="0.45">
      <c r="B21" s="259"/>
      <c r="C21" s="212"/>
      <c r="D21" s="487"/>
      <c r="E21" s="487"/>
      <c r="F21" s="487"/>
      <c r="G21" s="17"/>
      <c r="H21" s="209"/>
      <c r="I21" s="568"/>
      <c r="J21" s="568"/>
      <c r="K21" s="83"/>
      <c r="L21" s="84"/>
      <c r="M21" s="65"/>
      <c r="N21" s="145"/>
      <c r="O21" s="145"/>
      <c r="P21" s="145"/>
    </row>
    <row r="22" spans="2:22" ht="20.149999999999999" customHeight="1" x14ac:dyDescent="0.45">
      <c r="B22" s="58"/>
      <c r="C22" s="17"/>
      <c r="G22" s="17"/>
      <c r="H22" s="56"/>
      <c r="I22" s="56"/>
      <c r="J22" s="56"/>
      <c r="K22" s="83"/>
      <c r="L22" s="84"/>
      <c r="N22" s="145"/>
      <c r="O22" s="145"/>
      <c r="P22" s="145"/>
    </row>
    <row r="23" spans="2:22" ht="20.149999999999999" customHeight="1" x14ac:dyDescent="0.45">
      <c r="B23" s="58"/>
      <c r="C23" s="17"/>
      <c r="G23" s="17"/>
      <c r="H23" s="56"/>
      <c r="I23" s="56"/>
      <c r="J23" s="56"/>
      <c r="K23" s="83"/>
      <c r="L23" s="84"/>
      <c r="N23" s="145"/>
      <c r="O23" s="145"/>
      <c r="P23" s="145"/>
    </row>
    <row r="24" spans="2:22" ht="20.149999999999999" customHeight="1" x14ac:dyDescent="0.45">
      <c r="B24" s="58"/>
      <c r="C24" s="17"/>
      <c r="D24" s="487"/>
      <c r="E24" s="487"/>
      <c r="F24" s="487"/>
      <c r="G24" s="76"/>
      <c r="H24" s="56"/>
      <c r="I24" s="494"/>
      <c r="J24" s="494"/>
      <c r="K24" s="83"/>
      <c r="L24" s="84"/>
    </row>
    <row r="25" spans="2:22" ht="20.149999999999999" customHeight="1" x14ac:dyDescent="0.45">
      <c r="B25" s="58"/>
      <c r="C25" s="17"/>
      <c r="D25" s="487"/>
      <c r="E25" s="487"/>
      <c r="F25" s="487"/>
      <c r="G25" s="76"/>
      <c r="H25" s="56"/>
      <c r="I25" s="494"/>
      <c r="J25" s="494"/>
      <c r="K25" s="83"/>
      <c r="L25" s="84"/>
    </row>
    <row r="26" spans="2:22" ht="20.149999999999999" customHeight="1" x14ac:dyDescent="0.45">
      <c r="B26" s="58"/>
      <c r="C26" s="17"/>
      <c r="D26" s="487"/>
      <c r="E26" s="487"/>
      <c r="F26" s="487"/>
      <c r="G26" s="76"/>
      <c r="H26" s="56"/>
      <c r="I26" s="494"/>
      <c r="J26" s="494"/>
      <c r="K26" s="83"/>
      <c r="L26" s="84"/>
    </row>
    <row r="27" spans="2:22" ht="20.149999999999999" customHeight="1" x14ac:dyDescent="0.45">
      <c r="B27" s="58"/>
      <c r="C27" s="17"/>
      <c r="D27" s="487"/>
      <c r="E27" s="487"/>
      <c r="F27" s="487"/>
      <c r="G27" s="76"/>
      <c r="H27" s="56"/>
      <c r="I27" s="494"/>
      <c r="J27" s="494"/>
      <c r="K27" s="83"/>
      <c r="L27" s="84"/>
    </row>
    <row r="28" spans="2:22" ht="20.149999999999999" customHeight="1" x14ac:dyDescent="0.45">
      <c r="B28" s="58"/>
      <c r="C28" s="17"/>
      <c r="D28" s="487"/>
      <c r="E28" s="487"/>
      <c r="F28" s="487"/>
      <c r="G28" s="76"/>
      <c r="H28" s="56"/>
      <c r="I28" s="494"/>
      <c r="J28" s="494"/>
      <c r="K28" s="83"/>
      <c r="L28" s="84"/>
    </row>
    <row r="29" spans="2:22" ht="20.149999999999999" customHeight="1" thickBot="1" x14ac:dyDescent="0.5">
      <c r="B29" s="47"/>
      <c r="C29" s="48"/>
      <c r="D29" s="48"/>
      <c r="E29" s="48"/>
      <c r="F29" s="48"/>
      <c r="G29" s="48"/>
      <c r="H29" s="48"/>
      <c r="I29" s="48"/>
      <c r="J29" s="48"/>
      <c r="K29" s="48"/>
      <c r="L29" s="49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SUM(L17:L29)</f>
        <v>102.4</v>
      </c>
      <c r="M30" s="63">
        <f>SUM(P18:P29)</f>
        <v>30.400000000000006</v>
      </c>
      <c r="N30" s="133">
        <f>M30/L30</f>
        <v>0.29687500000000006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102.4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9.2159999999999993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111.616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666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5">
    <mergeCell ref="I21:J21"/>
    <mergeCell ref="D24:F24"/>
    <mergeCell ref="I24:J24"/>
    <mergeCell ref="D25:F25"/>
    <mergeCell ref="I25:J25"/>
    <mergeCell ref="D21:F21"/>
    <mergeCell ref="J34:K34"/>
    <mergeCell ref="J30:K30"/>
    <mergeCell ref="J32:K32"/>
    <mergeCell ref="D26:F26"/>
    <mergeCell ref="I26:J26"/>
    <mergeCell ref="D27:F27"/>
    <mergeCell ref="I27:J27"/>
    <mergeCell ref="D28:F28"/>
    <mergeCell ref="I28:J28"/>
    <mergeCell ref="D20:F20"/>
    <mergeCell ref="I20:J20"/>
    <mergeCell ref="D19:F19"/>
    <mergeCell ref="I19:J19"/>
    <mergeCell ref="D17:F17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B2333-18A8-4AF4-A6AC-4765DC5FB48F}">
  <sheetPr codeName="Sheet22">
    <tabColor rgb="FF7030A0"/>
    <pageSetUpPr fitToPage="1"/>
  </sheetPr>
  <dimension ref="B1:Q39"/>
  <sheetViews>
    <sheetView topLeftCell="A7" workbookViewId="0">
      <selection activeCell="B1" sqref="B1:L39"/>
    </sheetView>
  </sheetViews>
  <sheetFormatPr defaultColWidth="12.54296875" defaultRowHeight="18.5" x14ac:dyDescent="0.45"/>
  <cols>
    <col min="1" max="1" width="12.54296875" style="19"/>
    <col min="2" max="2" width="15.54296875" style="19" customWidth="1"/>
    <col min="3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1209</v>
      </c>
      <c r="J10" s="24" t="s">
        <v>27</v>
      </c>
      <c r="K10" s="464">
        <v>202312360</v>
      </c>
      <c r="L10" s="465"/>
    </row>
    <row r="11" spans="2:12" ht="20.149999999999999" customHeight="1" x14ac:dyDescent="0.45">
      <c r="B11" s="466" t="s">
        <v>1359</v>
      </c>
      <c r="C11" s="467"/>
      <c r="D11" s="468"/>
      <c r="E11" s="25"/>
      <c r="F11" s="469" t="str">
        <f>VLOOKUP(H10,'Delivery Location'!A$4:N$466,2,0)</f>
        <v xml:space="preserve">FMD CENTRAL KITCHEN HOT                           10, SENOKO WAY                                LEVEL3    SINGAPORE 758031                  </v>
      </c>
      <c r="G11" s="470"/>
      <c r="H11" s="471"/>
      <c r="J11" s="26" t="s">
        <v>9</v>
      </c>
      <c r="K11" s="478">
        <v>45278</v>
      </c>
      <c r="L11" s="479"/>
    </row>
    <row r="12" spans="2:12" ht="20.149999999999999" customHeight="1" x14ac:dyDescent="0.45">
      <c r="B12" s="480" t="s">
        <v>1210</v>
      </c>
      <c r="C12" s="453"/>
      <c r="D12" s="481"/>
      <c r="E12" s="25"/>
      <c r="F12" s="472"/>
      <c r="G12" s="473"/>
      <c r="H12" s="474"/>
      <c r="J12" s="26" t="s">
        <v>127</v>
      </c>
      <c r="K12" s="482">
        <v>4080371041</v>
      </c>
      <c r="L12" s="483"/>
    </row>
    <row r="13" spans="2:12" ht="20.149999999999999" customHeight="1" x14ac:dyDescent="0.45">
      <c r="B13" s="480" t="s">
        <v>1211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1214</v>
      </c>
      <c r="L13" s="483"/>
    </row>
    <row r="14" spans="2:12" ht="20.149999999999999" customHeight="1" x14ac:dyDescent="0.45">
      <c r="B14" s="480" t="s">
        <v>1212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08" t="s">
        <v>1213</v>
      </c>
      <c r="C15" s="509"/>
      <c r="D15" s="510"/>
      <c r="E15" s="21"/>
      <c r="F15" s="475"/>
      <c r="G15" s="476"/>
      <c r="H15" s="477"/>
      <c r="J15" s="27" t="s">
        <v>680</v>
      </c>
      <c r="K15" s="495">
        <v>10122506</v>
      </c>
      <c r="L15" s="496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7" t="s">
        <v>386</v>
      </c>
      <c r="I17" s="460" t="s">
        <v>385</v>
      </c>
      <c r="J17" s="462"/>
      <c r="K17" s="8" t="s">
        <v>5</v>
      </c>
      <c r="L17" s="9" t="s">
        <v>6</v>
      </c>
      <c r="N17" s="182" t="s">
        <v>1224</v>
      </c>
      <c r="O17" s="182" t="s">
        <v>1226</v>
      </c>
      <c r="P17" s="182" t="s">
        <v>1227</v>
      </c>
    </row>
    <row r="18" spans="2:17" ht="20.149999999999999" customHeight="1" x14ac:dyDescent="0.45">
      <c r="B18" s="29">
        <v>4000005592</v>
      </c>
      <c r="C18" s="17" t="str">
        <f>VLOOKUP(B18,'Sales Master'!A$3:B$537,2,0)</f>
        <v>P3013</v>
      </c>
      <c r="D18" s="487" t="str">
        <f>VLOOKUP(C18,'Sales Master'!B$3:D$537,2,)</f>
        <v>Black Glutinous Rice 黑糯米</v>
      </c>
      <c r="E18" s="487"/>
      <c r="F18" s="487"/>
      <c r="G18" s="17">
        <v>1</v>
      </c>
      <c r="H18" s="208" t="str">
        <f>VLOOKUP(C18,'Sales Master'!$B$3:$E$537,4,0)</f>
        <v>INDONESIA</v>
      </c>
      <c r="I18" s="519" t="str">
        <f>VLOOKUP(C18,'Sales Master'!$B$3:F$537,5,0)</f>
        <v>25 KGS</v>
      </c>
      <c r="J18" s="519"/>
      <c r="K18" s="80">
        <f>VLOOKUP(C18,'Sales Master'!$B$3:$K$2402,10,0)</f>
        <v>77</v>
      </c>
      <c r="L18" s="64">
        <f>K18*G18</f>
        <v>77</v>
      </c>
      <c r="N18" s="145">
        <f>VLOOKUP(C18,'Sales Master'!$B$3:$DA$2279,104,0)</f>
        <v>60</v>
      </c>
      <c r="O18" s="145">
        <f>K18-N18</f>
        <v>17</v>
      </c>
      <c r="P18" s="145">
        <f>O18*G18</f>
        <v>17</v>
      </c>
      <c r="Q18" s="63"/>
    </row>
    <row r="19" spans="2:17" ht="20.149999999999999" customHeight="1" x14ac:dyDescent="0.45">
      <c r="B19" s="29"/>
      <c r="C19" s="17"/>
      <c r="D19" s="487"/>
      <c r="E19" s="487"/>
      <c r="F19" s="487"/>
      <c r="G19" s="17"/>
      <c r="H19" s="208"/>
      <c r="I19" s="519"/>
      <c r="J19" s="519"/>
      <c r="K19" s="80"/>
      <c r="L19" s="64"/>
      <c r="N19" s="145"/>
      <c r="O19" s="145"/>
      <c r="P19" s="145"/>
    </row>
    <row r="20" spans="2:17" ht="20.149999999999999" customHeight="1" x14ac:dyDescent="0.45">
      <c r="B20" s="29"/>
      <c r="C20" s="17"/>
      <c r="D20" s="487"/>
      <c r="E20" s="487"/>
      <c r="F20" s="487"/>
      <c r="G20" s="17"/>
      <c r="H20" s="56"/>
      <c r="I20" s="494"/>
      <c r="J20" s="494"/>
      <c r="K20" s="80"/>
      <c r="L20" s="64"/>
    </row>
    <row r="21" spans="2:17" ht="20.149999999999999" customHeight="1" x14ac:dyDescent="0.45">
      <c r="B21" s="29"/>
      <c r="C21" s="17"/>
      <c r="D21" s="487"/>
      <c r="E21" s="487"/>
      <c r="F21" s="487"/>
      <c r="G21" s="17"/>
      <c r="H21" s="56"/>
      <c r="I21" s="494"/>
      <c r="J21" s="494"/>
      <c r="K21" s="80"/>
      <c r="L21" s="64"/>
    </row>
    <row r="22" spans="2:17" ht="20.149999999999999" customHeight="1" x14ac:dyDescent="0.45">
      <c r="B22" s="29"/>
      <c r="C22" s="17"/>
      <c r="G22" s="17"/>
      <c r="H22" s="56"/>
      <c r="I22" s="56"/>
      <c r="J22" s="56"/>
      <c r="K22" s="80"/>
      <c r="L22" s="64"/>
    </row>
    <row r="23" spans="2:17" ht="20.149999999999999" customHeight="1" x14ac:dyDescent="0.45">
      <c r="B23" s="29"/>
      <c r="C23" s="17"/>
      <c r="G23" s="17"/>
      <c r="H23" s="56"/>
      <c r="I23" s="56"/>
      <c r="J23" s="56"/>
      <c r="K23" s="80"/>
      <c r="L23" s="64"/>
    </row>
    <row r="24" spans="2:17" ht="20.149999999999999" customHeight="1" x14ac:dyDescent="0.45">
      <c r="B24" s="29"/>
      <c r="C24" s="17"/>
      <c r="D24" s="487"/>
      <c r="E24" s="487"/>
      <c r="F24" s="487"/>
      <c r="G24" s="17"/>
      <c r="H24" s="56"/>
      <c r="I24" s="494"/>
      <c r="J24" s="494"/>
      <c r="K24" s="80"/>
      <c r="L24" s="64"/>
    </row>
    <row r="25" spans="2:17" ht="20.149999999999999" customHeight="1" thickBot="1" x14ac:dyDescent="0.5">
      <c r="B25" s="32"/>
      <c r="C25" s="33"/>
      <c r="D25" s="488"/>
      <c r="E25" s="488"/>
      <c r="F25" s="488"/>
      <c r="G25" s="33"/>
      <c r="H25" s="57"/>
      <c r="I25" s="459"/>
      <c r="J25" s="459"/>
      <c r="K25" s="34"/>
      <c r="L25" s="35"/>
    </row>
    <row r="26" spans="2:17" ht="20.149999999999999" customHeight="1" thickBot="1" x14ac:dyDescent="0.5">
      <c r="B26" s="36"/>
      <c r="L26" s="37"/>
    </row>
    <row r="27" spans="2:17" ht="20.149999999999999" customHeight="1" x14ac:dyDescent="0.45">
      <c r="B27" s="10" t="s">
        <v>16</v>
      </c>
      <c r="C27" s="6"/>
      <c r="D27" s="6"/>
      <c r="E27" s="6"/>
      <c r="F27" s="6"/>
      <c r="G27" s="6"/>
      <c r="H27" s="6"/>
      <c r="I27" s="6"/>
      <c r="J27" s="489" t="s">
        <v>13</v>
      </c>
      <c r="K27" s="490"/>
      <c r="L27" s="38">
        <f>SUM(L17:L26)</f>
        <v>77</v>
      </c>
      <c r="M27" s="63">
        <f>SUM(P18:P25)</f>
        <v>17</v>
      </c>
      <c r="N27" s="133">
        <f>M27/L27</f>
        <v>0.22077922077922077</v>
      </c>
    </row>
    <row r="28" spans="2:17" ht="20.149999999999999" customHeight="1" x14ac:dyDescent="0.45">
      <c r="B28" s="10" t="s">
        <v>17</v>
      </c>
      <c r="C28" s="6"/>
      <c r="D28" s="6"/>
      <c r="E28" s="6"/>
      <c r="F28" s="6"/>
      <c r="G28" s="6"/>
      <c r="H28" s="6"/>
      <c r="I28" s="6"/>
      <c r="J28" s="39" t="s">
        <v>20</v>
      </c>
      <c r="K28" s="40"/>
      <c r="L28" s="41">
        <f>L27*K28</f>
        <v>0</v>
      </c>
    </row>
    <row r="29" spans="2:17" ht="20.149999999999999" customHeight="1" x14ac:dyDescent="0.45">
      <c r="B29" s="10" t="s">
        <v>18</v>
      </c>
      <c r="C29" s="6"/>
      <c r="D29" s="6"/>
      <c r="E29" s="6"/>
      <c r="F29" s="6"/>
      <c r="G29" s="6"/>
      <c r="H29" s="6"/>
      <c r="I29" s="6"/>
      <c r="J29" s="491" t="s">
        <v>19</v>
      </c>
      <c r="K29" s="492"/>
      <c r="L29" s="41">
        <f>L27-L28</f>
        <v>77</v>
      </c>
    </row>
    <row r="30" spans="2:17" ht="20.149999999999999" customHeight="1" x14ac:dyDescent="0.45">
      <c r="B30" s="10" t="s">
        <v>22</v>
      </c>
      <c r="C30" s="6"/>
      <c r="D30" s="6"/>
      <c r="E30" s="6"/>
      <c r="F30" s="6"/>
      <c r="G30" s="6"/>
      <c r="H30" s="6"/>
      <c r="I30" s="6"/>
      <c r="J30" s="102" t="s">
        <v>15</v>
      </c>
      <c r="K30" s="103">
        <f>'Sales Master'!$B$1</f>
        <v>0.09</v>
      </c>
      <c r="L30" s="42">
        <f>L29*K30</f>
        <v>6.93</v>
      </c>
    </row>
    <row r="31" spans="2:17" ht="20.149999999999999" customHeight="1" thickBot="1" x14ac:dyDescent="0.5">
      <c r="B31" s="10" t="s">
        <v>676</v>
      </c>
      <c r="C31" s="6"/>
      <c r="D31" s="6"/>
      <c r="E31" s="6"/>
      <c r="F31" s="6"/>
      <c r="G31" s="6"/>
      <c r="H31" s="6"/>
      <c r="I31" s="6"/>
      <c r="J31" s="485" t="s">
        <v>21</v>
      </c>
      <c r="K31" s="486"/>
      <c r="L31" s="43">
        <f>L29+L30</f>
        <v>83.93</v>
      </c>
    </row>
    <row r="32" spans="2:17" ht="20.149999999999999" customHeight="1" x14ac:dyDescent="0.45">
      <c r="B32" s="10" t="s">
        <v>24</v>
      </c>
      <c r="C32" s="6"/>
      <c r="D32" s="6"/>
      <c r="E32" s="6"/>
      <c r="F32" s="6"/>
      <c r="G32" s="6"/>
      <c r="H32" s="6"/>
      <c r="I32" s="6"/>
      <c r="L32" s="37" t="s">
        <v>439</v>
      </c>
    </row>
    <row r="33" spans="2:12" ht="20.149999999999999" customHeight="1" x14ac:dyDescent="0.45">
      <c r="B33" s="144" t="s">
        <v>666</v>
      </c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J35" s="45"/>
      <c r="K35" s="45"/>
      <c r="L35" s="46"/>
    </row>
    <row r="36" spans="2:12" ht="20.149999999999999" customHeight="1" x14ac:dyDescent="0.45">
      <c r="B36" s="36"/>
      <c r="J36" s="19" t="s">
        <v>26</v>
      </c>
      <c r="L36" s="37"/>
    </row>
    <row r="37" spans="2:12" ht="20.149999999999999" customHeight="1" x14ac:dyDescent="0.45">
      <c r="B37" s="44"/>
      <c r="C37" s="45"/>
      <c r="D37" s="45"/>
      <c r="J37" s="19" t="s">
        <v>690</v>
      </c>
      <c r="L37" s="37"/>
    </row>
    <row r="38" spans="2:12" ht="20.149999999999999" customHeight="1" x14ac:dyDescent="0.45">
      <c r="B38" s="36" t="s">
        <v>25</v>
      </c>
      <c r="J38" s="19" t="s">
        <v>691</v>
      </c>
      <c r="L38" s="37"/>
    </row>
    <row r="39" spans="2:12" ht="19" thickBot="1" x14ac:dyDescent="0.5"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9"/>
    </row>
  </sheetData>
  <mergeCells count="30">
    <mergeCell ref="I21:J21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J31:K31"/>
    <mergeCell ref="D24:F24"/>
    <mergeCell ref="I24:J24"/>
    <mergeCell ref="D25:F25"/>
    <mergeCell ref="I25:J25"/>
    <mergeCell ref="J27:K27"/>
    <mergeCell ref="J29:K2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26597-EE59-4315-A0BC-D77A2A64CAB8}">
  <sheetPr codeName="Sheet174">
    <tabColor rgb="FFFFC000"/>
    <pageSetUpPr fitToPage="1"/>
  </sheetPr>
  <dimension ref="B1:Q43"/>
  <sheetViews>
    <sheetView topLeftCell="A26" zoomScaleNormal="100" workbookViewId="0"/>
  </sheetViews>
  <sheetFormatPr defaultColWidth="12.54296875" defaultRowHeight="18.5" x14ac:dyDescent="0.45"/>
  <cols>
    <col min="1" max="1" width="12.54296875" style="19"/>
    <col min="2" max="2" width="15.54296875" style="19" customWidth="1"/>
    <col min="3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1" width="12.54296875" style="19" customWidth="1"/>
    <col min="12" max="12" width="14.90625" style="19" customWidth="1"/>
    <col min="13" max="13" width="19.26953125" style="19" customWidth="1"/>
    <col min="14" max="15" width="12.54296875" style="19"/>
    <col min="16" max="16" width="12.81640625" style="19" bestFit="1" customWidth="1"/>
    <col min="17" max="16384" width="12.54296875" style="19"/>
  </cols>
  <sheetData>
    <row r="1" spans="2:15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5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5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5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5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5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5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5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5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1219</v>
      </c>
      <c r="J10" s="24" t="s">
        <v>27</v>
      </c>
      <c r="K10" s="464">
        <v>202504276</v>
      </c>
      <c r="L10" s="465"/>
    </row>
    <row r="11" spans="2:15" ht="20.149999999999999" customHeight="1" x14ac:dyDescent="0.45">
      <c r="B11" s="466" t="s">
        <v>1220</v>
      </c>
      <c r="C11" s="467"/>
      <c r="D11" s="468"/>
      <c r="E11" s="25"/>
      <c r="F11" s="469" t="str">
        <f>VLOOKUP(H10,'Delivery Location'!A$4:N$466,2,0)</f>
        <v xml:space="preserve">DELI ASIA (S) PTE LTD                                      1, Woodlands Height #01-03,                         #06-02    SINGAPORE 737859                  </v>
      </c>
      <c r="G11" s="470"/>
      <c r="H11" s="471"/>
      <c r="J11" s="26" t="s">
        <v>9</v>
      </c>
      <c r="K11" s="478">
        <v>45758</v>
      </c>
      <c r="L11" s="479"/>
    </row>
    <row r="12" spans="2:15" ht="20.149999999999999" customHeight="1" x14ac:dyDescent="0.45">
      <c r="B12" s="480" t="s">
        <v>1259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2305</v>
      </c>
      <c r="L12" s="483"/>
    </row>
    <row r="13" spans="2:15" ht="20.149999999999999" customHeight="1" x14ac:dyDescent="0.45">
      <c r="B13" s="480" t="s">
        <v>1221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424</v>
      </c>
      <c r="L13" s="483"/>
      <c r="N13" s="19" t="s">
        <v>1222</v>
      </c>
      <c r="O13" s="19" t="s">
        <v>2154</v>
      </c>
    </row>
    <row r="14" spans="2:15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  <c r="N14" s="19" t="s">
        <v>2112</v>
      </c>
      <c r="O14" s="19" t="s">
        <v>2155</v>
      </c>
    </row>
    <row r="15" spans="2:15" ht="18" customHeight="1" thickBot="1" x14ac:dyDescent="0.5">
      <c r="B15" s="508"/>
      <c r="C15" s="509"/>
      <c r="D15" s="510"/>
      <c r="E15" s="21"/>
      <c r="F15" s="475"/>
      <c r="G15" s="476"/>
      <c r="H15" s="477"/>
      <c r="J15" s="27" t="s">
        <v>680</v>
      </c>
      <c r="K15" s="495" t="s">
        <v>34</v>
      </c>
      <c r="L15" s="496"/>
    </row>
    <row r="16" spans="2:15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7" t="s">
        <v>386</v>
      </c>
      <c r="I17" s="460" t="s">
        <v>385</v>
      </c>
      <c r="J17" s="462"/>
      <c r="K17" s="8" t="s">
        <v>5</v>
      </c>
      <c r="L17" s="9" t="s">
        <v>6</v>
      </c>
      <c r="N17" s="182" t="s">
        <v>1224</v>
      </c>
      <c r="O17" s="182" t="s">
        <v>1226</v>
      </c>
      <c r="P17" s="182" t="s">
        <v>1227</v>
      </c>
    </row>
    <row r="18" spans="2:17" ht="20.149999999999999" customHeight="1" x14ac:dyDescent="0.45">
      <c r="B18" s="29"/>
      <c r="C18" s="212" t="s">
        <v>824</v>
      </c>
      <c r="D18" s="487" t="str">
        <f>VLOOKUP(C18,'Sales Master'!B$3:D$537,2,)</f>
        <v>Green Bean 绿豆</v>
      </c>
      <c r="E18" s="487"/>
      <c r="F18" s="487"/>
      <c r="G18" s="17">
        <v>3</v>
      </c>
      <c r="H18" s="208" t="str">
        <f>VLOOKUP(C18,'Sales Master'!$B$3:$E$537,4,0)</f>
        <v>-</v>
      </c>
      <c r="I18" s="519" t="str">
        <f>VLOOKUP(C18,'Sales Master'!$B$3:F$537,5,0)</f>
        <v>25 KGS</v>
      </c>
      <c r="J18" s="519"/>
      <c r="K18" s="80">
        <f>VLOOKUP(C18,'Sales Master'!$B$3:$J$2280,9,0)</f>
        <v>57</v>
      </c>
      <c r="L18" s="64">
        <f>K18*G18</f>
        <v>171</v>
      </c>
      <c r="N18" s="145">
        <f>VLOOKUP(C18,'Sales Master'!$B$3:$DA$2279,104,0)</f>
        <v>43.75</v>
      </c>
      <c r="O18" s="145">
        <f>K18-N18</f>
        <v>13.25</v>
      </c>
      <c r="P18" s="145">
        <f>O18*G18</f>
        <v>39.75</v>
      </c>
      <c r="Q18" s="63"/>
    </row>
    <row r="19" spans="2:17" ht="20.149999999999999" customHeight="1" x14ac:dyDescent="0.45">
      <c r="B19" s="29"/>
      <c r="C19" s="212" t="s">
        <v>1752</v>
      </c>
      <c r="D19" s="487" t="str">
        <f>VLOOKUP(C19,'Sales Master'!B$3:D$537,2,)</f>
        <v>Pumpkin Powder 南瓜粉</v>
      </c>
      <c r="E19" s="487"/>
      <c r="F19" s="487"/>
      <c r="G19" s="17">
        <v>10</v>
      </c>
      <c r="H19" s="208" t="str">
        <f>VLOOKUP(C19,'Sales Master'!$B$3:$E$537,4,0)</f>
        <v>Duo Li</v>
      </c>
      <c r="I19" s="519" t="str">
        <f>VLOOKUP(C19,'Sales Master'!$B$3:F$537,5,0)</f>
        <v>1 KG</v>
      </c>
      <c r="J19" s="519"/>
      <c r="K19" s="80">
        <f>VLOOKUP(C19,'Sales Master'!$B$3:$J$2280,9,0)</f>
        <v>60</v>
      </c>
      <c r="L19" s="64">
        <f>K19*G19</f>
        <v>600</v>
      </c>
      <c r="N19" s="145">
        <f>VLOOKUP(C19,'Sales Master'!$B$3:$DA$2279,104,0)</f>
        <v>41</v>
      </c>
      <c r="O19" s="145">
        <f>K19-N19</f>
        <v>19</v>
      </c>
      <c r="P19" s="145">
        <f>O19*G19</f>
        <v>190</v>
      </c>
      <c r="Q19" s="63"/>
    </row>
    <row r="20" spans="2:17" ht="20.149999999999999" customHeight="1" x14ac:dyDescent="0.45">
      <c r="B20" s="29"/>
      <c r="C20" s="17"/>
      <c r="G20" s="17"/>
      <c r="H20" s="56"/>
      <c r="I20" s="56"/>
      <c r="J20" s="56"/>
      <c r="K20" s="80"/>
      <c r="L20" s="64"/>
    </row>
    <row r="21" spans="2:17" ht="20.149999999999999" customHeight="1" x14ac:dyDescent="0.45">
      <c r="B21" s="29"/>
      <c r="C21" s="17"/>
      <c r="D21" s="487"/>
      <c r="E21" s="487"/>
      <c r="F21" s="487"/>
      <c r="G21" s="17"/>
      <c r="H21" s="56"/>
      <c r="I21" s="494"/>
      <c r="J21" s="494"/>
      <c r="K21" s="80"/>
      <c r="L21" s="64"/>
    </row>
    <row r="22" spans="2:17" ht="20.149999999999999" customHeight="1" x14ac:dyDescent="0.45">
      <c r="B22" s="29"/>
      <c r="C22" s="17"/>
      <c r="G22" s="17"/>
      <c r="H22" s="56"/>
      <c r="I22" s="56"/>
      <c r="J22" s="56"/>
      <c r="K22" s="80"/>
      <c r="L22" s="64"/>
    </row>
    <row r="23" spans="2:17" ht="20.149999999999999" customHeight="1" x14ac:dyDescent="0.45">
      <c r="B23" s="29"/>
      <c r="C23" s="17"/>
      <c r="G23" s="17"/>
      <c r="H23" s="56"/>
      <c r="I23" s="56"/>
      <c r="J23" s="56"/>
      <c r="K23" s="80"/>
      <c r="L23" s="64"/>
    </row>
    <row r="24" spans="2:17" ht="20.149999999999999" customHeight="1" x14ac:dyDescent="0.45">
      <c r="B24" s="29"/>
      <c r="C24" s="17"/>
      <c r="G24" s="17"/>
      <c r="H24" s="56"/>
      <c r="I24" s="56"/>
      <c r="J24" s="56"/>
      <c r="K24" s="80"/>
      <c r="L24" s="64"/>
    </row>
    <row r="25" spans="2:17" ht="20.149999999999999" customHeight="1" x14ac:dyDescent="0.45">
      <c r="B25" s="29"/>
      <c r="C25" s="17"/>
      <c r="G25" s="17"/>
      <c r="H25" s="56"/>
      <c r="I25" s="56"/>
      <c r="J25" s="56"/>
      <c r="K25" s="80"/>
      <c r="L25" s="64"/>
    </row>
    <row r="26" spans="2:17" ht="20.149999999999999" customHeight="1" x14ac:dyDescent="0.45">
      <c r="B26" s="29"/>
      <c r="C26" s="17"/>
      <c r="G26" s="17"/>
      <c r="H26" s="56"/>
      <c r="I26" s="56"/>
      <c r="J26" s="56"/>
      <c r="K26" s="80"/>
      <c r="L26" s="64"/>
    </row>
    <row r="27" spans="2:17" ht="20.149999999999999" customHeight="1" x14ac:dyDescent="0.45">
      <c r="B27" s="29"/>
      <c r="C27" s="17"/>
      <c r="D27" s="487"/>
      <c r="E27" s="487"/>
      <c r="F27" s="487"/>
      <c r="G27" s="17"/>
      <c r="H27" s="56"/>
      <c r="I27" s="494"/>
      <c r="J27" s="494"/>
      <c r="K27" s="80"/>
      <c r="L27" s="64"/>
    </row>
    <row r="28" spans="2:17" ht="20.149999999999999" customHeight="1" thickBot="1" x14ac:dyDescent="0.5">
      <c r="B28" s="32"/>
      <c r="C28" s="33"/>
      <c r="D28" s="488"/>
      <c r="E28" s="488"/>
      <c r="F28" s="488"/>
      <c r="G28" s="33"/>
      <c r="H28" s="57"/>
      <c r="I28" s="459"/>
      <c r="J28" s="459"/>
      <c r="K28" s="34"/>
      <c r="L28" s="35"/>
    </row>
    <row r="29" spans="2:17" ht="20.149999999999999" customHeight="1" thickBot="1" x14ac:dyDescent="0.5">
      <c r="B29" s="36"/>
      <c r="L29" s="37"/>
    </row>
    <row r="30" spans="2:17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SUM(L17:L29)</f>
        <v>771</v>
      </c>
      <c r="M30" s="63">
        <f>SUM(P18:P27)</f>
        <v>229.75</v>
      </c>
      <c r="N30" s="133">
        <f>M30/L30</f>
        <v>0.29798962386511024</v>
      </c>
    </row>
    <row r="31" spans="2:17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7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771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69.39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840.39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 t="s">
        <v>439</v>
      </c>
    </row>
    <row r="36" spans="2:12" ht="20.149999999999999" customHeight="1" x14ac:dyDescent="0.45">
      <c r="B36" s="144" t="s">
        <v>666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J38" s="45"/>
      <c r="K38" s="45"/>
      <c r="L38" s="46"/>
    </row>
    <row r="39" spans="2:12" ht="20.149999999999999" customHeight="1" x14ac:dyDescent="0.45">
      <c r="B39" s="36"/>
      <c r="J39" s="19" t="s">
        <v>26</v>
      </c>
      <c r="L39" s="37"/>
    </row>
    <row r="40" spans="2:12" ht="20.149999999999999" customHeight="1" x14ac:dyDescent="0.45">
      <c r="B40" s="44"/>
      <c r="C40" s="45"/>
      <c r="D40" s="45"/>
      <c r="J40" s="19" t="s">
        <v>690</v>
      </c>
      <c r="L40" s="37"/>
    </row>
    <row r="41" spans="2:12" ht="20.149999999999999" customHeight="1" x14ac:dyDescent="0.45">
      <c r="B41" s="36" t="s">
        <v>25</v>
      </c>
      <c r="J41" s="19" t="s">
        <v>691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20.5" x14ac:dyDescent="0.45">
      <c r="F43" s="202"/>
    </row>
  </sheetData>
  <mergeCells count="28">
    <mergeCell ref="J32:K32"/>
    <mergeCell ref="J34:K34"/>
    <mergeCell ref="D27:F27"/>
    <mergeCell ref="I27:J27"/>
    <mergeCell ref="D28:F28"/>
    <mergeCell ref="I28:J28"/>
    <mergeCell ref="J30:K30"/>
    <mergeCell ref="I17:J17"/>
    <mergeCell ref="D19:F19"/>
    <mergeCell ref="I19:J19"/>
    <mergeCell ref="D21:F21"/>
    <mergeCell ref="I21:J21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5202E-4B4C-4082-A07A-7DD663DE1170}">
  <sheetPr>
    <tabColor rgb="FF7030A0"/>
    <pageSetUpPr fitToPage="1"/>
  </sheetPr>
  <dimension ref="B1:V1048576"/>
  <sheetViews>
    <sheetView topLeftCell="B26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1257</v>
      </c>
      <c r="J10" s="24" t="s">
        <v>27</v>
      </c>
      <c r="K10" s="464">
        <v>202501097</v>
      </c>
      <c r="L10" s="465"/>
    </row>
    <row r="11" spans="2:12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 xml:space="preserve">FOOD REPUBLIC PTE LTD                                   ION Orchard @ Drink Stall                          2, Orchard Turn #B4-03/04        Singapore 238801                                           </v>
      </c>
      <c r="G11" s="470"/>
      <c r="H11" s="471"/>
      <c r="J11" s="26" t="s">
        <v>9</v>
      </c>
      <c r="K11" s="512">
        <v>45661</v>
      </c>
      <c r="L11" s="479"/>
    </row>
    <row r="12" spans="2:12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.149999999999999" customHeight="1" x14ac:dyDescent="0.45">
      <c r="B18" s="58"/>
      <c r="C18" s="212" t="s">
        <v>807</v>
      </c>
      <c r="D18" s="487" t="str">
        <f>VLOOKUP(C18,'Sales Master'!B$3:D$537,2,)</f>
        <v>Chin Chow  仙草</v>
      </c>
      <c r="E18" s="487"/>
      <c r="F18" s="487"/>
      <c r="G18" s="76">
        <v>9</v>
      </c>
      <c r="H18" s="196" t="str">
        <f>VLOOKUP(C18,'Sales Master'!$B$3:$F$2420,5,0)</f>
        <v>4 KG/ Pkt包</v>
      </c>
      <c r="I18" s="513" t="str">
        <f>VLOOKUP(C18,'Sales Master'!$B$3:$E$2420,4,0)</f>
        <v>TSM</v>
      </c>
      <c r="J18" s="513"/>
      <c r="K18" s="83">
        <f>VLOOKUP(C18,'Sales Master'!B$3:I$537,8,0)</f>
        <v>6</v>
      </c>
      <c r="L18" s="84">
        <f>K18*G18</f>
        <v>54</v>
      </c>
      <c r="S18" s="93"/>
      <c r="T18" s="93"/>
      <c r="U18" s="93"/>
      <c r="V18" s="93"/>
    </row>
    <row r="19" spans="2:22" ht="20.149999999999999" customHeight="1" x14ac:dyDescent="0.45">
      <c r="B19" s="58"/>
      <c r="C19" s="212" t="s">
        <v>846</v>
      </c>
      <c r="D19" s="487" t="str">
        <f>VLOOKUP(C19,'Sales Master'!B$3:D$537,2,)</f>
        <v>Pearl Barley 薏米</v>
      </c>
      <c r="E19" s="487"/>
      <c r="F19" s="487"/>
      <c r="G19" s="76">
        <v>1</v>
      </c>
      <c r="H19" s="196" t="str">
        <f>VLOOKUP(C19,'Sales Master'!$B$3:$F$2420,5,0)</f>
        <v>5 KG</v>
      </c>
      <c r="I19" s="513" t="str">
        <f>VLOOKUP(C19,'Sales Master'!$B$3:$E$2420,4,0)</f>
        <v>-</v>
      </c>
      <c r="J19" s="513"/>
      <c r="K19" s="83">
        <f>VLOOKUP(C19,'Sales Master'!B$3:I$537,8,0)</f>
        <v>10</v>
      </c>
      <c r="L19" s="84">
        <f>K19*G19</f>
        <v>10</v>
      </c>
      <c r="S19" s="93"/>
      <c r="T19" s="93"/>
      <c r="U19" s="93"/>
      <c r="V19" s="93"/>
    </row>
    <row r="20" spans="2:22" ht="20.149999999999999" customHeight="1" x14ac:dyDescent="0.45">
      <c r="B20" s="29"/>
      <c r="C20" s="212"/>
      <c r="D20" s="487"/>
      <c r="E20" s="487"/>
      <c r="F20" s="487"/>
      <c r="G20" s="76"/>
      <c r="H20" s="196"/>
      <c r="I20" s="513"/>
      <c r="J20" s="513"/>
      <c r="K20" s="83"/>
      <c r="L20" s="84"/>
    </row>
    <row r="21" spans="2:22" ht="20.149999999999999" customHeight="1" x14ac:dyDescent="0.45">
      <c r="B21" s="29"/>
      <c r="C21" s="17"/>
      <c r="D21" s="487"/>
      <c r="E21" s="487"/>
      <c r="F21" s="487"/>
      <c r="G21" s="76"/>
      <c r="H21" s="82"/>
      <c r="I21" s="447"/>
      <c r="J21" s="447"/>
      <c r="K21" s="83"/>
      <c r="L21" s="84"/>
    </row>
    <row r="22" spans="2:22" ht="20.149999999999999" customHeight="1" x14ac:dyDescent="0.45">
      <c r="B22" s="29"/>
      <c r="C22" s="17"/>
      <c r="D22" s="487"/>
      <c r="E22" s="487"/>
      <c r="F22" s="487"/>
      <c r="G22" s="76"/>
      <c r="H22" s="82"/>
      <c r="I22" s="447"/>
      <c r="J22" s="447"/>
      <c r="K22" s="83"/>
      <c r="L22" s="84"/>
      <c r="N22" s="145"/>
      <c r="O22" s="145"/>
      <c r="P22" s="145"/>
      <c r="Q22" s="170"/>
      <c r="R22" s="93"/>
    </row>
    <row r="23" spans="2:22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31"/>
    </row>
    <row r="24" spans="2:22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31"/>
    </row>
    <row r="25" spans="2:22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31"/>
    </row>
    <row r="26" spans="2:22" ht="20.149999999999999" customHeight="1" x14ac:dyDescent="0.45">
      <c r="B26" s="29"/>
      <c r="C26" s="17"/>
      <c r="D26" s="487"/>
      <c r="E26" s="487"/>
      <c r="F26" s="487"/>
      <c r="G26" s="76"/>
      <c r="H26" s="56"/>
      <c r="I26" s="494"/>
      <c r="J26" s="494"/>
      <c r="K26" s="30"/>
      <c r="L26" s="31"/>
    </row>
    <row r="27" spans="2:22" ht="20.149999999999999" customHeight="1" x14ac:dyDescent="0.45">
      <c r="B27" s="29"/>
      <c r="C27" s="17"/>
      <c r="D27" s="487"/>
      <c r="E27" s="487"/>
      <c r="F27" s="487"/>
      <c r="G27" s="76"/>
      <c r="H27" s="56"/>
      <c r="I27" s="494"/>
      <c r="J27" s="494"/>
      <c r="K27" s="30"/>
      <c r="L27" s="31"/>
    </row>
    <row r="28" spans="2:22" ht="20.149999999999999" customHeight="1" x14ac:dyDescent="0.45">
      <c r="B28" s="29"/>
      <c r="C28" s="17"/>
      <c r="G28" s="76"/>
      <c r="H28" s="56"/>
      <c r="I28" s="56"/>
      <c r="J28" s="56"/>
      <c r="K28" s="30"/>
      <c r="L28" s="31"/>
    </row>
    <row r="29" spans="2:22" ht="20.149999999999999" customHeight="1" x14ac:dyDescent="0.45">
      <c r="B29" s="104"/>
      <c r="C29" s="105"/>
      <c r="D29" s="514"/>
      <c r="E29" s="514"/>
      <c r="F29" s="514"/>
      <c r="G29" s="105"/>
      <c r="H29" s="105"/>
      <c r="I29" s="124"/>
      <c r="J29" s="124"/>
      <c r="K29" s="108"/>
      <c r="L29" s="12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89" t="s">
        <v>13</v>
      </c>
      <c r="K31" s="490"/>
      <c r="L31" s="38">
        <f>SUM(L18:L30)</f>
        <v>64</v>
      </c>
      <c r="M31" s="63">
        <f>SUM(P18:P19)</f>
        <v>0</v>
      </c>
      <c r="N31" s="133"/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91" t="s">
        <v>19</v>
      </c>
      <c r="K33" s="492"/>
      <c r="L33" s="41">
        <f>L31-L32</f>
        <v>64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5.76</v>
      </c>
    </row>
    <row r="35" spans="2:12" ht="20.149999999999999" customHeight="1" thickBot="1" x14ac:dyDescent="0.5">
      <c r="B35" s="10" t="s">
        <v>676</v>
      </c>
      <c r="C35" s="6"/>
      <c r="D35" s="6"/>
      <c r="E35" s="6"/>
      <c r="F35" s="6"/>
      <c r="G35" s="6"/>
      <c r="H35" s="6"/>
      <c r="I35" s="6"/>
      <c r="J35" s="485" t="s">
        <v>21</v>
      </c>
      <c r="K35" s="486"/>
      <c r="L35" s="43">
        <f>L33+L34</f>
        <v>69.760000000000005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666</v>
      </c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1048576" spans="4:6" x14ac:dyDescent="0.45">
      <c r="D1048576" s="487"/>
      <c r="E1048576" s="487"/>
      <c r="F1048576" s="487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J35:K35"/>
    <mergeCell ref="D1048576:F1048576"/>
    <mergeCell ref="D27:F27"/>
    <mergeCell ref="I27:J27"/>
    <mergeCell ref="D29:F29"/>
    <mergeCell ref="J31:K31"/>
    <mergeCell ref="J33:K33"/>
  </mergeCells>
  <conditionalFormatting sqref="C18">
    <cfRule type="duplicateValues" dxfId="66" priority="3"/>
  </conditionalFormatting>
  <conditionalFormatting sqref="C19">
    <cfRule type="duplicateValues" dxfId="65" priority="5"/>
  </conditionalFormatting>
  <conditionalFormatting sqref="C20">
    <cfRule type="duplicateValues" dxfId="64" priority="4"/>
  </conditionalFormatting>
  <conditionalFormatting sqref="C21">
    <cfRule type="duplicateValues" dxfId="63" priority="2"/>
  </conditionalFormatting>
  <conditionalFormatting sqref="C22">
    <cfRule type="duplicateValues" dxfId="62" priority="1"/>
  </conditionalFormatting>
  <conditionalFormatting sqref="C24">
    <cfRule type="duplicateValues" dxfId="61" priority="6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E9478-1045-4961-959A-1BA9B6D4E03A}">
  <sheetPr codeName="Sheet194">
    <tabColor rgb="FF7030A0"/>
    <pageSetUpPr fitToPage="1"/>
  </sheetPr>
  <dimension ref="B1:P41"/>
  <sheetViews>
    <sheetView topLeftCell="B1" workbookViewId="0">
      <selection activeCell="B1" sqref="B1:L4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1278</v>
      </c>
      <c r="J10" s="24" t="s">
        <v>27</v>
      </c>
      <c r="K10" s="464">
        <v>202501164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Punggol OASIS (Gourmet Paradise) - Drink Stall                                                681 Punggol Drive #04-01               OASIS Terraces, Singapore 820681</v>
      </c>
      <c r="G11" s="470"/>
      <c r="H11" s="471"/>
      <c r="J11" s="26" t="s">
        <v>9</v>
      </c>
      <c r="K11" s="478">
        <v>45664</v>
      </c>
      <c r="L11" s="479"/>
    </row>
    <row r="12" spans="2:12" ht="20.149999999999999" customHeight="1" x14ac:dyDescent="0.45">
      <c r="B12" s="480" t="s">
        <v>1145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937</v>
      </c>
      <c r="D18" s="487" t="str">
        <f>VLOOKUP(C18,'Sales Master'!B$3:D$537,2,)</f>
        <v>Lychee in Syrup 荔枝</v>
      </c>
      <c r="E18" s="487"/>
      <c r="F18" s="487"/>
      <c r="G18" s="76">
        <v>2</v>
      </c>
      <c r="H18" s="186" t="str">
        <f>VLOOKUP(C18,'Sales Master'!$B$3:$F$2488,5,0)</f>
        <v>12 CAN/CARTON</v>
      </c>
      <c r="I18" s="484" t="str">
        <f>VLOOKUP(C18,'Sales Master'!$B$3:$E$2488,4,0)</f>
        <v>Statue</v>
      </c>
      <c r="J18" s="484"/>
      <c r="K18" s="30">
        <f>VLOOKUP(C18,'Sales Master'!B$3:AT$537,45,0)</f>
        <v>22</v>
      </c>
      <c r="L18" s="64">
        <f>K18*G18</f>
        <v>44</v>
      </c>
      <c r="M18" s="65"/>
      <c r="N18" s="145">
        <f>VLOOKUP(C18,'Sales Master'!$B$3:$DA$2279,104,0)</f>
        <v>16.5</v>
      </c>
      <c r="O18" s="145">
        <f>K18-N18</f>
        <v>5.5</v>
      </c>
      <c r="P18" s="145">
        <f>O18*G18</f>
        <v>11</v>
      </c>
    </row>
    <row r="19" spans="2:16" ht="20.149999999999999" customHeight="1" x14ac:dyDescent="0.45">
      <c r="B19" s="29"/>
      <c r="C19" s="212"/>
      <c r="D19" s="487"/>
      <c r="E19" s="487"/>
      <c r="F19" s="487"/>
      <c r="G19" s="76"/>
      <c r="H19" s="186"/>
      <c r="I19" s="484"/>
      <c r="J19" s="484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212"/>
      <c r="D20" s="487"/>
      <c r="E20" s="487"/>
      <c r="F20" s="487"/>
      <c r="G20" s="76"/>
      <c r="H20" s="186"/>
      <c r="I20" s="484"/>
      <c r="J20" s="484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2"/>
      <c r="D21" s="487"/>
      <c r="E21" s="487"/>
      <c r="F21" s="487"/>
      <c r="G21" s="76"/>
      <c r="H21" s="186"/>
      <c r="I21" s="484"/>
      <c r="J21" s="484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87"/>
      <c r="E22" s="487"/>
      <c r="F22" s="487"/>
      <c r="G22" s="76"/>
      <c r="H22" s="186"/>
      <c r="I22" s="484"/>
      <c r="J22" s="484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D23" s="487"/>
      <c r="E23" s="487"/>
      <c r="F23" s="487"/>
      <c r="G23" s="76"/>
      <c r="H23" s="186"/>
      <c r="I23" s="484"/>
      <c r="J23" s="484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D24" s="487"/>
      <c r="E24" s="487"/>
      <c r="F24" s="487"/>
      <c r="G24" s="76"/>
      <c r="H24" s="186"/>
      <c r="I24" s="484"/>
      <c r="J24" s="484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87"/>
      <c r="E25" s="487"/>
      <c r="F25" s="487"/>
      <c r="G25" s="76"/>
      <c r="H25" s="165"/>
      <c r="I25" s="494"/>
      <c r="J25" s="494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G26" s="76"/>
      <c r="H26" s="165"/>
      <c r="I26" s="56"/>
      <c r="J26" s="56"/>
      <c r="K26" s="30"/>
      <c r="L26" s="64"/>
      <c r="M26" s="65"/>
      <c r="N26" s="145"/>
      <c r="O26" s="145"/>
      <c r="P26" s="145"/>
    </row>
    <row r="27" spans="2:16" ht="20.149999999999999" customHeight="1" thickBot="1" x14ac:dyDescent="0.5">
      <c r="B27" s="32"/>
      <c r="C27" s="33"/>
      <c r="D27" s="488"/>
      <c r="E27" s="488"/>
      <c r="F27" s="488"/>
      <c r="G27" s="33"/>
      <c r="H27" s="57"/>
      <c r="I27" s="459"/>
      <c r="J27" s="459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89" t="s">
        <v>13</v>
      </c>
      <c r="K29" s="490"/>
      <c r="L29" s="38">
        <f>SUM(L18:L28)</f>
        <v>44</v>
      </c>
      <c r="M29" s="63">
        <f>SUM(P18:P25)-L29*0.02</f>
        <v>10.119999999999999</v>
      </c>
      <c r="N29" s="133">
        <f>M29/L29</f>
        <v>0.22999999999999998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91" t="s">
        <v>19</v>
      </c>
      <c r="K31" s="492"/>
      <c r="L31" s="41">
        <f>L29-L30</f>
        <v>44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3.96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85" t="s">
        <v>21</v>
      </c>
      <c r="K33" s="486"/>
      <c r="L33" s="43">
        <f>L31+L32</f>
        <v>47.96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6">
    <mergeCell ref="I20:J20"/>
    <mergeCell ref="I22:J22"/>
    <mergeCell ref="I23:J23"/>
    <mergeCell ref="D20:F20"/>
    <mergeCell ref="D22:F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18:F18"/>
    <mergeCell ref="I18:J18"/>
    <mergeCell ref="D17:F17"/>
    <mergeCell ref="D24:F24"/>
    <mergeCell ref="I24:J24"/>
    <mergeCell ref="I21:J21"/>
    <mergeCell ref="J31:K31"/>
    <mergeCell ref="J33:K33"/>
    <mergeCell ref="D25:F25"/>
    <mergeCell ref="I25:J25"/>
    <mergeCell ref="D27:F27"/>
    <mergeCell ref="I27:J27"/>
    <mergeCell ref="J29:K29"/>
    <mergeCell ref="D23:F23"/>
    <mergeCell ref="D21:F21"/>
  </mergeCells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767B0-F194-49ED-9F11-DEF2EB973A0B}">
  <sheetPr codeName="Sheet6">
    <tabColor rgb="FFFFC000"/>
    <pageSetUpPr fitToPage="1"/>
  </sheetPr>
  <dimension ref="B1:N44"/>
  <sheetViews>
    <sheetView topLeftCell="A26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1305</v>
      </c>
      <c r="J10" s="24" t="s">
        <v>27</v>
      </c>
      <c r="K10" s="464">
        <v>202501153</v>
      </c>
      <c r="L10" s="465"/>
    </row>
    <row r="11" spans="2:14" ht="20.149999999999999" customHeight="1" x14ac:dyDescent="0.45">
      <c r="B11" s="466" t="s">
        <v>1306</v>
      </c>
      <c r="C11" s="467"/>
      <c r="D11" s="468"/>
      <c r="E11" s="25"/>
      <c r="F11" s="469" t="str">
        <f>VLOOKUP(H10,'Delivery Location'!A$4:N$466,2,0)</f>
        <v>R&amp;B TEA SINGAPORE                                  30 SEMBAWANG DRIVE                           #B1-38 SUN PLAZA,                   SINGAPORE 757713</v>
      </c>
      <c r="G11" s="470"/>
      <c r="H11" s="471"/>
      <c r="J11" s="26" t="s">
        <v>9</v>
      </c>
      <c r="K11" s="478">
        <v>45664</v>
      </c>
      <c r="L11" s="479"/>
    </row>
    <row r="12" spans="2:14" ht="20.149999999999999" customHeight="1" x14ac:dyDescent="0.45">
      <c r="B12" s="480" t="s">
        <v>1307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212" t="s">
        <v>730</v>
      </c>
    </row>
    <row r="13" spans="2:14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212" t="s">
        <v>1309</v>
      </c>
    </row>
    <row r="14" spans="2:14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2" t="s">
        <v>1309</v>
      </c>
      <c r="D18" s="487" t="str">
        <f>VLOOKUP(C18,'Sales Master'!B$3:D$537,2,)</f>
        <v>Passion Fruit Puree 百香果酱</v>
      </c>
      <c r="E18" s="487"/>
      <c r="F18" s="487"/>
      <c r="G18" s="76">
        <v>2</v>
      </c>
      <c r="H18" s="186" t="str">
        <f>VLOOKUP(C18,'Sales Master'!$B$3:$F$2488,5,0)</f>
        <v>1 KG/ Box盒</v>
      </c>
      <c r="I18" s="484" t="str">
        <f>VLOOKUP(C18,'Sales Master'!$B$3:$E$2488,4,0)</f>
        <v>-</v>
      </c>
      <c r="J18" s="484"/>
      <c r="K18" s="30">
        <f>VLOOKUP(C18,'Sales Master'!B$3:AD$537,29,0)</f>
        <v>8.5</v>
      </c>
      <c r="L18" s="64">
        <f>K18*G18</f>
        <v>17</v>
      </c>
      <c r="M18" s="65"/>
    </row>
    <row r="19" spans="2:13" ht="20.149999999999999" customHeight="1" x14ac:dyDescent="0.45">
      <c r="B19" s="29"/>
      <c r="C19" s="212" t="s">
        <v>730</v>
      </c>
      <c r="D19" s="487" t="str">
        <f>VLOOKUP(C19,'Sales Master'!B$3:D$537,2,)</f>
        <v>Grass Jelly 仙草冻</v>
      </c>
      <c r="E19" s="487"/>
      <c r="F19" s="487"/>
      <c r="G19" s="76">
        <v>4</v>
      </c>
      <c r="H19" s="186" t="str">
        <f>VLOOKUP(C19,'Sales Master'!$B$3:$F$2488,5,0)</f>
        <v>1 KG/ Box盒</v>
      </c>
      <c r="I19" s="484" t="str">
        <f>VLOOKUP(C19,'Sales Master'!$B$3:$E$2488,4,0)</f>
        <v>DO!</v>
      </c>
      <c r="J19" s="484"/>
      <c r="K19" s="30">
        <f>VLOOKUP(C19,'Sales Master'!B$3:AD$537,29,0)</f>
        <v>3.5</v>
      </c>
      <c r="L19" s="64">
        <f t="shared" ref="L19" si="0">K19*G19</f>
        <v>14</v>
      </c>
      <c r="M19" s="65"/>
    </row>
    <row r="20" spans="2:13" ht="20.149999999999999" customHeight="1" x14ac:dyDescent="0.45">
      <c r="B20" s="29"/>
      <c r="C20" s="212"/>
      <c r="D20" s="487"/>
      <c r="E20" s="487"/>
      <c r="F20" s="487"/>
      <c r="G20" s="76"/>
      <c r="H20" s="186"/>
      <c r="I20" s="484"/>
      <c r="J20" s="484"/>
      <c r="K20" s="30"/>
      <c r="L20" s="64"/>
      <c r="M20" s="65"/>
    </row>
    <row r="21" spans="2:13" ht="20.149999999999999" customHeight="1" x14ac:dyDescent="0.45">
      <c r="B21" s="29"/>
      <c r="C21" s="212"/>
      <c r="D21" s="487"/>
      <c r="E21" s="487"/>
      <c r="F21" s="487"/>
      <c r="G21" s="76"/>
      <c r="H21" s="186"/>
      <c r="I21" s="484"/>
      <c r="J21" s="484"/>
      <c r="K21" s="30"/>
      <c r="L21" s="64"/>
      <c r="M21" s="65"/>
    </row>
    <row r="22" spans="2:13" ht="20.149999999999999" customHeight="1" x14ac:dyDescent="0.45">
      <c r="B22" s="29"/>
      <c r="C22" s="212"/>
      <c r="G22" s="76"/>
      <c r="H22" s="186"/>
      <c r="I22" s="208"/>
      <c r="J22" s="208"/>
      <c r="K22" s="30"/>
      <c r="L22" s="64"/>
      <c r="M22" s="65"/>
    </row>
    <row r="23" spans="2:13" ht="20.149999999999999" customHeight="1" x14ac:dyDescent="0.45">
      <c r="B23" s="29"/>
      <c r="C23" s="212"/>
      <c r="G23" s="76"/>
      <c r="H23" s="186"/>
      <c r="I23" s="208"/>
      <c r="J23" s="208"/>
      <c r="K23" s="30"/>
      <c r="L23" s="64"/>
      <c r="M23" s="65"/>
    </row>
    <row r="24" spans="2:13" ht="20.149999999999999" customHeight="1" x14ac:dyDescent="0.45">
      <c r="B24" s="29"/>
      <c r="C24" s="212"/>
      <c r="G24" s="76"/>
      <c r="H24" s="186"/>
      <c r="I24" s="208"/>
      <c r="J24" s="208"/>
      <c r="K24" s="30"/>
      <c r="L24" s="64"/>
      <c r="M24" s="65"/>
    </row>
    <row r="25" spans="2:13" ht="20.149999999999999" customHeight="1" x14ac:dyDescent="0.45">
      <c r="B25" s="29"/>
      <c r="C25" s="212"/>
      <c r="D25" s="524"/>
      <c r="E25" s="524"/>
      <c r="F25" s="524"/>
      <c r="G25" s="76"/>
      <c r="H25" s="186"/>
      <c r="I25" s="484"/>
      <c r="J25" s="484"/>
      <c r="K25" s="30"/>
      <c r="L25" s="64"/>
      <c r="M25" s="65"/>
    </row>
    <row r="26" spans="2:13" ht="20.149999999999999" customHeight="1" x14ac:dyDescent="0.45">
      <c r="B26" s="29"/>
      <c r="C26" s="212"/>
      <c r="D26" s="487"/>
      <c r="E26" s="487"/>
      <c r="F26" s="487"/>
      <c r="G26" s="76"/>
      <c r="H26" s="186"/>
      <c r="I26" s="484"/>
      <c r="J26" s="484"/>
      <c r="K26" s="30"/>
      <c r="L26" s="64"/>
      <c r="M26" s="65"/>
    </row>
    <row r="27" spans="2:13" ht="20.149999999999999" customHeight="1" x14ac:dyDescent="0.45">
      <c r="B27" s="29"/>
      <c r="C27" s="17"/>
      <c r="D27" s="487"/>
      <c r="E27" s="487"/>
      <c r="F27" s="487"/>
      <c r="G27" s="76"/>
      <c r="H27" s="56"/>
      <c r="I27" s="494"/>
      <c r="J27" s="494"/>
      <c r="K27" s="30"/>
      <c r="L27" s="64"/>
      <c r="M27" s="65"/>
    </row>
    <row r="28" spans="2:13" ht="20.149999999999999" customHeight="1" x14ac:dyDescent="0.45">
      <c r="B28" s="29"/>
      <c r="C28" s="17"/>
      <c r="D28" s="487"/>
      <c r="E28" s="487"/>
      <c r="F28" s="487"/>
      <c r="G28" s="76"/>
      <c r="H28" s="56"/>
      <c r="I28" s="494"/>
      <c r="J28" s="494"/>
      <c r="K28" s="30"/>
      <c r="L28" s="64"/>
      <c r="M28" s="65"/>
    </row>
    <row r="29" spans="2:13" ht="20.149999999999999" customHeight="1" x14ac:dyDescent="0.45">
      <c r="B29" s="29"/>
      <c r="C29" s="17"/>
      <c r="G29" s="76"/>
      <c r="H29" s="165"/>
      <c r="I29" s="56"/>
      <c r="J29" s="56"/>
      <c r="K29" s="30"/>
      <c r="L29" s="64"/>
      <c r="M29" s="65"/>
    </row>
    <row r="30" spans="2:13" ht="20.149999999999999" customHeight="1" thickBot="1" x14ac:dyDescent="0.5">
      <c r="B30" s="32"/>
      <c r="C30" s="33"/>
      <c r="D30" s="488"/>
      <c r="E30" s="488"/>
      <c r="F30" s="488"/>
      <c r="G30" s="33"/>
      <c r="H30" s="57"/>
      <c r="I30" s="459"/>
      <c r="J30" s="459"/>
      <c r="K30" s="34"/>
      <c r="L30" s="35"/>
    </row>
    <row r="31" spans="2:13" ht="20.149999999999999" customHeight="1" thickBot="1" x14ac:dyDescent="0.5">
      <c r="B31" s="36"/>
      <c r="L31" s="37"/>
    </row>
    <row r="32" spans="2:13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89" t="s">
        <v>13</v>
      </c>
      <c r="K32" s="490"/>
      <c r="L32" s="38">
        <f>SUM(L14:L28)</f>
        <v>31</v>
      </c>
      <c r="M32" s="63">
        <f>SUM(P18:P28)</f>
        <v>0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91" t="s">
        <v>19</v>
      </c>
      <c r="K34" s="492"/>
      <c r="L34" s="41">
        <f>L32-L33</f>
        <v>31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2.79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85" t="s">
        <v>21</v>
      </c>
      <c r="K36" s="486"/>
      <c r="L36" s="43">
        <f>L34+L35</f>
        <v>33.79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6"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D20:F20"/>
    <mergeCell ref="I20:J20"/>
    <mergeCell ref="D18:F18"/>
    <mergeCell ref="I18:J18"/>
    <mergeCell ref="D21:F21"/>
    <mergeCell ref="I21:J21"/>
    <mergeCell ref="D19:F19"/>
    <mergeCell ref="I19:J19"/>
    <mergeCell ref="D28:F28"/>
    <mergeCell ref="I28:J28"/>
    <mergeCell ref="J34:K34"/>
    <mergeCell ref="J36:K36"/>
    <mergeCell ref="D30:F30"/>
    <mergeCell ref="I30:J30"/>
    <mergeCell ref="J32:K32"/>
    <mergeCell ref="D25:F25"/>
    <mergeCell ref="I25:J25"/>
    <mergeCell ref="D26:F26"/>
    <mergeCell ref="I26:J26"/>
    <mergeCell ref="D27:F27"/>
    <mergeCell ref="I27:J27"/>
  </mergeCells>
  <pageMargins left="0.51181102362204722" right="0.39370078740157483" top="0" bottom="0" header="0.31496062992125984" footer="0.31496062992125984"/>
  <pageSetup paperSize="9" scale="74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8AB9E-DC31-4899-A289-2CD196D4E58D}">
  <sheetPr codeName="Sheet101">
    <tabColor rgb="FF7030A0"/>
    <pageSetUpPr fitToPage="1"/>
  </sheetPr>
  <dimension ref="B1:P42"/>
  <sheetViews>
    <sheetView topLeftCell="B5" workbookViewId="0">
      <selection activeCell="I20" sqref="I20:J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8164062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107</v>
      </c>
      <c r="J10" s="24" t="s">
        <v>27</v>
      </c>
      <c r="K10" s="464">
        <v>202303086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 - Drink                                           10, Sinaran Drive #04-14 to 19,56 to 73. Novena Square 2  Singapore 307506                                       </v>
      </c>
      <c r="G11" s="470"/>
      <c r="H11" s="471"/>
      <c r="J11" s="26" t="s">
        <v>9</v>
      </c>
      <c r="K11" s="478">
        <v>44988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 t="s">
        <v>846</v>
      </c>
      <c r="D18" s="487" t="str">
        <f>VLOOKUP(C18,'Sales Master'!B$3:D$537,2,)</f>
        <v>Pearl Barley 薏米</v>
      </c>
      <c r="E18" s="487"/>
      <c r="F18" s="487"/>
      <c r="G18" s="17">
        <v>1</v>
      </c>
      <c r="H18" s="56" t="str">
        <f>VLOOKUP(C18,'Sales Master'!$B$3:$F$2420,5,0)</f>
        <v>5 KG</v>
      </c>
      <c r="I18" s="494" t="str">
        <f>VLOOKUP(C18,'Sales Master'!$B$3:$E$2420,4,0)</f>
        <v>-</v>
      </c>
      <c r="J18" s="494"/>
      <c r="K18" s="30">
        <f>VLOOKUP(C18,'Sales Master'!B$3:J$537,9,0)</f>
        <v>10</v>
      </c>
      <c r="L18" s="64">
        <f>K18*G18</f>
        <v>10</v>
      </c>
      <c r="M18" s="65"/>
      <c r="N18" s="145">
        <f>VLOOKUP(C18,'Sales Master'!$B$3:$DA$2279,104,0)</f>
        <v>7.6</v>
      </c>
      <c r="O18" s="145">
        <f>K18-N18</f>
        <v>2.4000000000000004</v>
      </c>
      <c r="P18" s="145">
        <f>O18*G18</f>
        <v>2.4000000000000004</v>
      </c>
    </row>
    <row r="19" spans="2:16" ht="20.149999999999999" customHeight="1" x14ac:dyDescent="0.45">
      <c r="B19" s="29"/>
      <c r="C19" s="17"/>
      <c r="D19" s="487"/>
      <c r="E19" s="487"/>
      <c r="F19" s="487"/>
      <c r="G19" s="17"/>
      <c r="H19" s="56"/>
      <c r="I19" s="494"/>
      <c r="J19" s="494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87"/>
      <c r="E20" s="487"/>
      <c r="F20" s="487"/>
      <c r="G20" s="17"/>
      <c r="H20" s="56"/>
      <c r="I20" s="494"/>
      <c r="J20" s="494"/>
      <c r="K20" s="30"/>
      <c r="L20" s="64"/>
      <c r="M20" s="65"/>
    </row>
    <row r="21" spans="2:16" ht="20.149999999999999" customHeight="1" x14ac:dyDescent="0.45">
      <c r="B21" s="29"/>
      <c r="C21" s="17"/>
      <c r="D21" s="487"/>
      <c r="E21" s="487"/>
      <c r="F21" s="487"/>
      <c r="G21" s="17"/>
      <c r="H21" s="56"/>
      <c r="I21" s="458"/>
      <c r="J21" s="458"/>
      <c r="K21" s="30"/>
      <c r="L21" s="64"/>
      <c r="M21" s="65"/>
    </row>
    <row r="22" spans="2:16" ht="20.149999999999999" customHeight="1" x14ac:dyDescent="0.45">
      <c r="B22" s="29"/>
      <c r="C22" s="17"/>
      <c r="D22" s="487"/>
      <c r="E22" s="487"/>
      <c r="F22" s="487"/>
      <c r="G22" s="17"/>
      <c r="H22" s="56"/>
      <c r="I22" s="458"/>
      <c r="J22" s="458"/>
      <c r="K22" s="30"/>
      <c r="L22" s="64"/>
      <c r="M22" s="65"/>
    </row>
    <row r="23" spans="2:16" ht="20.149999999999999" customHeight="1" x14ac:dyDescent="0.45">
      <c r="B23" s="29"/>
      <c r="C23" s="17"/>
      <c r="D23" s="487"/>
      <c r="E23" s="487"/>
      <c r="F23" s="487"/>
      <c r="G23" s="17"/>
      <c r="H23" s="56"/>
      <c r="I23" s="458"/>
      <c r="J23" s="458"/>
      <c r="K23" s="30"/>
      <c r="L23" s="64"/>
      <c r="M23" s="65"/>
    </row>
    <row r="24" spans="2:16" ht="20.149999999999999" customHeight="1" x14ac:dyDescent="0.45">
      <c r="B24" s="29"/>
      <c r="C24" s="17"/>
      <c r="D24" s="487"/>
      <c r="E24" s="487"/>
      <c r="F24" s="487"/>
      <c r="G24" s="17"/>
      <c r="H24" s="56"/>
      <c r="I24" s="458"/>
      <c r="J24" s="458"/>
      <c r="K24" s="30"/>
      <c r="L24" s="64"/>
      <c r="M24" s="65"/>
    </row>
    <row r="25" spans="2:16" ht="20.149999999999999" customHeight="1" x14ac:dyDescent="0.45">
      <c r="B25" s="29"/>
      <c r="C25" s="17"/>
      <c r="D25" s="487"/>
      <c r="E25" s="487"/>
      <c r="F25" s="487"/>
      <c r="G25" s="17"/>
      <c r="H25" s="56"/>
      <c r="I25" s="458"/>
      <c r="J25" s="458"/>
      <c r="K25" s="30"/>
      <c r="L25" s="64"/>
      <c r="M25" s="65"/>
    </row>
    <row r="26" spans="2:16" ht="20.149999999999999" customHeight="1" x14ac:dyDescent="0.45">
      <c r="B26" s="29"/>
      <c r="C26" s="17"/>
      <c r="D26" s="487"/>
      <c r="E26" s="487"/>
      <c r="F26" s="487"/>
      <c r="G26" s="17"/>
      <c r="H26" s="56"/>
      <c r="I26" s="458"/>
      <c r="J26" s="458"/>
      <c r="K26" s="30"/>
      <c r="L26" s="64"/>
      <c r="M26" s="65"/>
    </row>
    <row r="27" spans="2:16" ht="20.149999999999999" customHeight="1" x14ac:dyDescent="0.45">
      <c r="B27" s="29"/>
      <c r="C27" s="17"/>
      <c r="D27" s="487"/>
      <c r="E27" s="487"/>
      <c r="F27" s="487"/>
      <c r="G27" s="17"/>
      <c r="H27" s="56"/>
      <c r="I27" s="458"/>
      <c r="J27" s="458"/>
      <c r="K27" s="30"/>
      <c r="L27" s="31"/>
    </row>
    <row r="28" spans="2:16" ht="20.149999999999999" customHeight="1" thickBot="1" x14ac:dyDescent="0.5">
      <c r="B28" s="32"/>
      <c r="C28" s="33"/>
      <c r="D28" s="488"/>
      <c r="E28" s="488"/>
      <c r="F28" s="488"/>
      <c r="G28" s="33"/>
      <c r="H28" s="57"/>
      <c r="I28" s="459"/>
      <c r="J28" s="459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SUM(L17:L27)</f>
        <v>10</v>
      </c>
      <c r="M30" s="63">
        <f>SUM(P18:P25)</f>
        <v>2.4000000000000004</v>
      </c>
      <c r="N30" s="133">
        <f>M30/L30</f>
        <v>0.24000000000000005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10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0.89999999999999991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10.9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I18:J18"/>
    <mergeCell ref="D19:F19"/>
    <mergeCell ref="I19:J19"/>
    <mergeCell ref="J34:K34"/>
    <mergeCell ref="D26:F26"/>
    <mergeCell ref="I26:J26"/>
    <mergeCell ref="D27:F27"/>
    <mergeCell ref="I27:J27"/>
    <mergeCell ref="D28:F28"/>
    <mergeCell ref="I28:J28"/>
    <mergeCell ref="D25:F25"/>
    <mergeCell ref="I25:J25"/>
    <mergeCell ref="J30:K30"/>
    <mergeCell ref="J32:K32"/>
    <mergeCell ref="D22:F22"/>
    <mergeCell ref="I22:J22"/>
    <mergeCell ref="D24:F24"/>
    <mergeCell ref="I24:J24"/>
    <mergeCell ref="D20:F20"/>
    <mergeCell ref="I20:J20"/>
    <mergeCell ref="D21:F21"/>
    <mergeCell ref="I21:J21"/>
    <mergeCell ref="D23:F23"/>
    <mergeCell ref="I23:J23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D4E54-087B-47E2-AD97-1139046BC1B7}">
  <sheetPr codeName="Sheet2">
    <tabColor rgb="FFFFC000"/>
    <pageSetUpPr fitToPage="1"/>
  </sheetPr>
  <dimension ref="B1:P43"/>
  <sheetViews>
    <sheetView topLeftCell="A9" zoomScaleNormal="100" workbookViewId="0">
      <selection activeCell="K34" sqref="K3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1313</v>
      </c>
      <c r="J10" s="24" t="s">
        <v>27</v>
      </c>
      <c r="K10" s="464">
        <v>202307212</v>
      </c>
      <c r="L10" s="465"/>
    </row>
    <row r="11" spans="2:14" ht="20.149999999999999" customHeight="1" x14ac:dyDescent="0.45">
      <c r="B11" s="466" t="s">
        <v>1306</v>
      </c>
      <c r="C11" s="467"/>
      <c r="D11" s="468"/>
      <c r="E11" s="25"/>
      <c r="F11" s="469" t="str">
        <f>VLOOKUP(H10,'Delivery Location'!A$4:N$466,2,0)</f>
        <v xml:space="preserve">R&amp;B TEA SINGAPORE                                                         SINOPEC, 150 WOODLANDS AVENUE 5  SINGAPORE 739375             </v>
      </c>
      <c r="G11" s="470"/>
      <c r="H11" s="471"/>
      <c r="J11" s="26" t="s">
        <v>9</v>
      </c>
      <c r="K11" s="478">
        <v>45118</v>
      </c>
      <c r="L11" s="479"/>
      <c r="N11" s="17" t="s">
        <v>730</v>
      </c>
    </row>
    <row r="12" spans="2:14" ht="20.149999999999999" customHeight="1" x14ac:dyDescent="0.45">
      <c r="B12" s="480" t="s">
        <v>1307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17" t="s">
        <v>1309</v>
      </c>
    </row>
    <row r="13" spans="2:14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4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730</v>
      </c>
      <c r="D18" s="487" t="str">
        <f>VLOOKUP(C18,'Sales Master'!B$3:D$537,2,)</f>
        <v>Grass Jelly 仙草冻</v>
      </c>
      <c r="E18" s="487"/>
      <c r="F18" s="487"/>
      <c r="G18" s="76">
        <v>7</v>
      </c>
      <c r="H18" s="186" t="str">
        <f>VLOOKUP(C18,'Sales Master'!$B$3:$F$2488,5,0)</f>
        <v>1 KG/ Box盒</v>
      </c>
      <c r="I18" s="484" t="str">
        <f>VLOOKUP(C18,'Sales Master'!$B$3:$E$2488,4,0)</f>
        <v>DO!</v>
      </c>
      <c r="J18" s="484"/>
      <c r="K18" s="30">
        <f>VLOOKUP(C18,'Sales Master'!B$3:AD$537,29,0)</f>
        <v>3.5</v>
      </c>
      <c r="L18" s="64">
        <f>K18*G18</f>
        <v>24.5</v>
      </c>
      <c r="M18" s="65"/>
      <c r="N18" s="145">
        <f>VLOOKUP(C18,'Sales Master'!$B$3:$DA$2279,104,0)</f>
        <v>1.0900000000000001</v>
      </c>
      <c r="O18" s="145">
        <f>K18-N18</f>
        <v>2.41</v>
      </c>
      <c r="P18" s="145">
        <f>O18*G18</f>
        <v>16.87</v>
      </c>
    </row>
    <row r="19" spans="2:16" ht="20.149999999999999" customHeight="1" x14ac:dyDescent="0.45">
      <c r="B19" s="29"/>
      <c r="C19" s="212" t="s">
        <v>1309</v>
      </c>
      <c r="D19" s="487" t="str">
        <f>VLOOKUP(C19,'Sales Master'!B$3:D$537,2,)</f>
        <v>Passion Fruit Puree 百香果酱</v>
      </c>
      <c r="E19" s="487"/>
      <c r="F19" s="487"/>
      <c r="G19" s="76">
        <v>2</v>
      </c>
      <c r="H19" s="186" t="str">
        <f>VLOOKUP(C19,'Sales Master'!$B$3:$F$2488,5,0)</f>
        <v>1 KG/ Box盒</v>
      </c>
      <c r="I19" s="484" t="str">
        <f>VLOOKUP(C19,'Sales Master'!$B$3:$E$2488,4,0)</f>
        <v>-</v>
      </c>
      <c r="J19" s="484"/>
      <c r="K19" s="30">
        <f>VLOOKUP(C19,'Sales Master'!B$3:AD$537,29,0)</f>
        <v>8.5</v>
      </c>
      <c r="L19" s="64">
        <f>K19*G19</f>
        <v>17</v>
      </c>
      <c r="M19" s="65"/>
      <c r="N19" s="145">
        <f>VLOOKUP(C19,'Sales Master'!$B$3:$DA$2279,104,0)</f>
        <v>4.8</v>
      </c>
      <c r="O19" s="145">
        <f>K19-N19</f>
        <v>3.7</v>
      </c>
      <c r="P19" s="145">
        <f>O19*G19</f>
        <v>7.4</v>
      </c>
    </row>
    <row r="20" spans="2:16" ht="20.149999999999999" customHeight="1" x14ac:dyDescent="0.45">
      <c r="B20" s="29"/>
      <c r="C20" s="212"/>
      <c r="D20" s="487"/>
      <c r="E20" s="487"/>
      <c r="F20" s="487"/>
      <c r="G20" s="76"/>
      <c r="H20" s="186"/>
      <c r="I20" s="484"/>
      <c r="J20" s="484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87"/>
      <c r="E21" s="487"/>
      <c r="F21" s="487"/>
      <c r="G21" s="76"/>
      <c r="H21" s="186"/>
      <c r="I21" s="484"/>
      <c r="J21" s="484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87"/>
      <c r="E22" s="487"/>
      <c r="F22" s="487"/>
      <c r="G22" s="76"/>
      <c r="H22" s="56"/>
      <c r="I22" s="494"/>
      <c r="J22" s="494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87"/>
      <c r="E26" s="487"/>
      <c r="F26" s="487"/>
      <c r="G26" s="76"/>
      <c r="H26" s="56"/>
      <c r="I26" s="494"/>
      <c r="J26" s="494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87"/>
      <c r="E27" s="487"/>
      <c r="F27" s="487"/>
      <c r="G27" s="76"/>
      <c r="H27" s="165"/>
      <c r="I27" s="494"/>
      <c r="J27" s="494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G28" s="76"/>
      <c r="H28" s="165"/>
      <c r="I28" s="56"/>
      <c r="J28" s="56"/>
      <c r="K28" s="30"/>
      <c r="L28" s="64"/>
      <c r="M28" s="65"/>
      <c r="N28" s="145"/>
      <c r="O28" s="145"/>
      <c r="P28" s="145"/>
    </row>
    <row r="29" spans="2:16" ht="20.149999999999999" customHeight="1" thickBot="1" x14ac:dyDescent="0.5">
      <c r="B29" s="32"/>
      <c r="C29" s="33"/>
      <c r="D29" s="488"/>
      <c r="E29" s="488"/>
      <c r="F29" s="488"/>
      <c r="G29" s="33"/>
      <c r="H29" s="57"/>
      <c r="I29" s="459"/>
      <c r="J29" s="459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89" t="s">
        <v>13</v>
      </c>
      <c r="K31" s="490"/>
      <c r="L31" s="38">
        <f>SUM(L14:L27)</f>
        <v>41.5</v>
      </c>
      <c r="M31" s="63">
        <f>SUM(P18:P27)</f>
        <v>24.270000000000003</v>
      </c>
      <c r="N31" s="133">
        <f>M31/L31</f>
        <v>0.58481927710843384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91" t="s">
        <v>19</v>
      </c>
      <c r="K33" s="492"/>
      <c r="L33" s="41">
        <f>L31-L32</f>
        <v>41.5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3.7349999999999999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85" t="s">
        <v>21</v>
      </c>
      <c r="K35" s="486"/>
      <c r="L35" s="43">
        <f>L33+L34</f>
        <v>45.234999999999999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J33:K33"/>
    <mergeCell ref="J35:K35"/>
    <mergeCell ref="D27:F27"/>
    <mergeCell ref="I27:J27"/>
    <mergeCell ref="D29:F29"/>
    <mergeCell ref="I29:J29"/>
    <mergeCell ref="J31:K31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C19E5-E921-49DF-8B3E-36EFE4FEDF22}">
  <sheetPr codeName="Sheet212">
    <tabColor rgb="FFFFC000"/>
    <pageSetUpPr fitToPage="1"/>
  </sheetPr>
  <dimension ref="B1:P42"/>
  <sheetViews>
    <sheetView topLeftCell="A9"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18.906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>
        <v>202302372</v>
      </c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1316</v>
      </c>
      <c r="J10" s="24" t="s">
        <v>27</v>
      </c>
      <c r="K10" s="464">
        <v>202504271</v>
      </c>
      <c r="L10" s="465"/>
    </row>
    <row r="11" spans="2:14" ht="20.149999999999999" customHeight="1" x14ac:dyDescent="0.45">
      <c r="B11" s="466" t="s">
        <v>1306</v>
      </c>
      <c r="C11" s="467"/>
      <c r="D11" s="468"/>
      <c r="E11" s="25"/>
      <c r="F11" s="469" t="str">
        <f>VLOOKUP(H10,'Delivery Location'!A$4:N$466,2,0)</f>
        <v>R&amp;B TEA SINGAPORE                                    2 BAYFRONT AVENUE                              #B2-49/53 MARINA BAY SANDS, SINGAPORE 018972</v>
      </c>
      <c r="G11" s="470"/>
      <c r="H11" s="471"/>
      <c r="J11" s="26" t="s">
        <v>9</v>
      </c>
      <c r="K11" s="478">
        <v>45758</v>
      </c>
      <c r="L11" s="479"/>
    </row>
    <row r="12" spans="2:14" ht="20.149999999999999" customHeight="1" x14ac:dyDescent="0.45">
      <c r="B12" s="480" t="s">
        <v>1307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4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4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  <c r="N14" s="17"/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47" t="s">
        <v>1748</v>
      </c>
    </row>
    <row r="18" spans="2:16" ht="20.149999999999999" customHeight="1" x14ac:dyDescent="0.45">
      <c r="B18" s="29"/>
      <c r="C18" s="212" t="s">
        <v>1309</v>
      </c>
      <c r="D18" s="487" t="str">
        <f>VLOOKUP(C18,'Sales Master'!B$3:D$537,2,)</f>
        <v>Passion Fruit Puree 百香果酱</v>
      </c>
      <c r="E18" s="487"/>
      <c r="F18" s="487"/>
      <c r="G18" s="76">
        <v>2</v>
      </c>
      <c r="H18" s="186" t="str">
        <f>VLOOKUP(C18,'Sales Master'!$B$3:$F$2488,5,0)</f>
        <v>1 KG/ Box盒</v>
      </c>
      <c r="I18" s="484" t="str">
        <f>VLOOKUP(C18,'Sales Master'!$B$3:$E$2488,4,0)</f>
        <v>-</v>
      </c>
      <c r="J18" s="484"/>
      <c r="K18" s="30">
        <f>VLOOKUP(C18,'Sales Master'!B$3:AD$537,29,0)</f>
        <v>8.5</v>
      </c>
      <c r="L18" s="64">
        <f>K18*G18</f>
        <v>17</v>
      </c>
      <c r="M18" s="65"/>
      <c r="N18" s="147" t="s">
        <v>1267</v>
      </c>
    </row>
    <row r="19" spans="2:16" ht="20.149999999999999" customHeight="1" x14ac:dyDescent="0.45">
      <c r="B19" s="29"/>
      <c r="C19" s="212" t="s">
        <v>730</v>
      </c>
      <c r="D19" s="487" t="str">
        <f>VLOOKUP(C19,'Sales Master'!B$3:D$537,2,)</f>
        <v>Grass Jelly 仙草冻</v>
      </c>
      <c r="E19" s="487"/>
      <c r="F19" s="487"/>
      <c r="G19" s="76">
        <v>4</v>
      </c>
      <c r="H19" s="186" t="str">
        <f>VLOOKUP(C19,'Sales Master'!$B$3:$F$2488,5,0)</f>
        <v>1 KG/ Box盒</v>
      </c>
      <c r="I19" s="484" t="str">
        <f>VLOOKUP(C19,'Sales Master'!$B$3:$E$2488,4,0)</f>
        <v>DO!</v>
      </c>
      <c r="J19" s="484"/>
      <c r="K19" s="30">
        <f>VLOOKUP(C19,'Sales Master'!B$3:AD$537,29,0)</f>
        <v>3.5</v>
      </c>
      <c r="L19" s="64">
        <f t="shared" ref="L19" si="0">K19*G19</f>
        <v>14</v>
      </c>
      <c r="M19" s="65"/>
      <c r="N19" s="147" t="s">
        <v>786</v>
      </c>
    </row>
    <row r="20" spans="2:16" ht="20.149999999999999" customHeight="1" x14ac:dyDescent="0.45">
      <c r="B20" s="29"/>
      <c r="C20" s="212" t="s">
        <v>786</v>
      </c>
      <c r="D20" s="487" t="str">
        <f>VLOOKUP(C20,'Sales Master'!B$3:D$537,2,)</f>
        <v>Tapioca Flour 茨粉</v>
      </c>
      <c r="E20" s="487"/>
      <c r="F20" s="487"/>
      <c r="G20" s="76">
        <v>10</v>
      </c>
      <c r="H20" s="186" t="str">
        <f>VLOOKUP(C20,'Sales Master'!$B$3:$F$2488,5,0)</f>
        <v xml:space="preserve">500 GM/pkt </v>
      </c>
      <c r="I20" s="484" t="str">
        <f>VLOOKUP(C20,'Sales Master'!$B$3:$E$2488,4,0)</f>
        <v>F/man 飞人</v>
      </c>
      <c r="J20" s="484"/>
      <c r="K20" s="30">
        <f>VLOOKUP(C20,'Sales Master'!B$3:AD$537,29,0)</f>
        <v>0.8</v>
      </c>
      <c r="L20" s="64">
        <f t="shared" ref="L20" si="1">K20*G20</f>
        <v>8</v>
      </c>
      <c r="M20" s="65"/>
      <c r="N20" s="147" t="s">
        <v>1309</v>
      </c>
    </row>
    <row r="21" spans="2:16" ht="20.149999999999999" customHeight="1" x14ac:dyDescent="0.45">
      <c r="B21" s="29"/>
      <c r="C21" s="212"/>
      <c r="D21" s="524"/>
      <c r="E21" s="524"/>
      <c r="F21" s="524"/>
      <c r="G21" s="76"/>
      <c r="H21" s="186"/>
      <c r="I21" s="484"/>
      <c r="J21" s="484"/>
      <c r="K21" s="30"/>
      <c r="L21" s="64"/>
      <c r="M21" s="65"/>
      <c r="N21" s="147" t="s">
        <v>730</v>
      </c>
    </row>
    <row r="22" spans="2:16" ht="20.149999999999999" customHeight="1" x14ac:dyDescent="0.45">
      <c r="B22" s="29"/>
      <c r="C22" s="212"/>
      <c r="D22" s="487"/>
      <c r="E22" s="487"/>
      <c r="F22" s="487"/>
      <c r="G22" s="76"/>
      <c r="H22" s="186"/>
      <c r="I22" s="484"/>
      <c r="J22" s="484"/>
      <c r="K22" s="30"/>
      <c r="L22" s="64"/>
      <c r="M22" s="65"/>
      <c r="N22" s="147" t="s">
        <v>1713</v>
      </c>
    </row>
    <row r="23" spans="2:16" ht="20.149999999999999" customHeight="1" x14ac:dyDescent="0.45">
      <c r="B23" s="29"/>
      <c r="C23" s="212"/>
      <c r="D23" s="487"/>
      <c r="E23" s="487"/>
      <c r="F23" s="487"/>
      <c r="G23" s="76"/>
      <c r="H23" s="186"/>
      <c r="I23" s="484"/>
      <c r="J23" s="484"/>
      <c r="K23" s="30"/>
      <c r="L23" s="64"/>
      <c r="M23" s="65"/>
      <c r="N23" s="212"/>
    </row>
    <row r="24" spans="2:16" ht="20.149999999999999" customHeight="1" x14ac:dyDescent="0.45">
      <c r="B24" s="29"/>
      <c r="C24" s="212"/>
      <c r="G24" s="76"/>
      <c r="H24" s="186"/>
      <c r="I24" s="208"/>
      <c r="J24" s="208"/>
      <c r="K24" s="30"/>
      <c r="L24" s="64"/>
      <c r="M24" s="65"/>
      <c r="N24" s="212"/>
      <c r="O24" s="145"/>
      <c r="P24" s="145"/>
    </row>
    <row r="25" spans="2:16" ht="20.149999999999999" customHeight="1" x14ac:dyDescent="0.45">
      <c r="B25" s="29"/>
      <c r="C25" s="17"/>
      <c r="D25" s="487"/>
      <c r="E25" s="487"/>
      <c r="F25" s="487"/>
      <c r="G25" s="76"/>
      <c r="H25" s="186"/>
      <c r="I25" s="519"/>
      <c r="J25" s="519"/>
      <c r="K25" s="30"/>
      <c r="L25" s="64"/>
      <c r="M25" s="65"/>
      <c r="N25" s="212"/>
      <c r="O25" s="145"/>
      <c r="P25" s="145"/>
    </row>
    <row r="26" spans="2:16" ht="20.149999999999999" customHeight="1" x14ac:dyDescent="0.45">
      <c r="B26" s="29"/>
      <c r="C26" s="17"/>
      <c r="D26" s="487"/>
      <c r="E26" s="487"/>
      <c r="F26" s="487"/>
      <c r="G26" s="76"/>
      <c r="H26" s="165"/>
      <c r="I26" s="494"/>
      <c r="J26" s="494"/>
      <c r="K26" s="30"/>
      <c r="L26" s="64"/>
      <c r="M26" s="65"/>
      <c r="N26" s="212"/>
      <c r="O26" s="145"/>
      <c r="P26" s="145"/>
    </row>
    <row r="27" spans="2:16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488"/>
      <c r="E28" s="488"/>
      <c r="F28" s="488"/>
      <c r="G28" s="33"/>
      <c r="H28" s="57"/>
      <c r="I28" s="459"/>
      <c r="J28" s="459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SUM(L14:L26)</f>
        <v>39</v>
      </c>
      <c r="M30" s="63">
        <f>SUM(P18:P26)</f>
        <v>0</v>
      </c>
      <c r="N30" s="133">
        <f>M30/L30</f>
        <v>0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39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3.51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42.51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6">
    <mergeCell ref="J32:K32"/>
    <mergeCell ref="J34:K34"/>
    <mergeCell ref="D26:F26"/>
    <mergeCell ref="I26:J26"/>
    <mergeCell ref="D28:F28"/>
    <mergeCell ref="I28:J28"/>
    <mergeCell ref="J30:K30"/>
    <mergeCell ref="D19:F19"/>
    <mergeCell ref="I19:J19"/>
    <mergeCell ref="D18:F18"/>
    <mergeCell ref="I18:J18"/>
    <mergeCell ref="D25:F25"/>
    <mergeCell ref="I25:J25"/>
    <mergeCell ref="D23:F23"/>
    <mergeCell ref="I23:J23"/>
    <mergeCell ref="D22:F22"/>
    <mergeCell ref="I22:J22"/>
    <mergeCell ref="D20:F20"/>
    <mergeCell ref="I20:J20"/>
    <mergeCell ref="D21:F21"/>
    <mergeCell ref="I21:J21"/>
    <mergeCell ref="I17:J17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F7689-F242-4E07-B310-6D4DBC33DA58}">
  <sheetPr codeName="Sheet211">
    <tabColor rgb="FFFFC000"/>
    <pageSetUpPr fitToPage="1"/>
  </sheetPr>
  <dimension ref="B1:P41"/>
  <sheetViews>
    <sheetView topLeftCell="A12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1317</v>
      </c>
      <c r="J10" s="24" t="s">
        <v>27</v>
      </c>
      <c r="K10" s="464">
        <v>202405008</v>
      </c>
      <c r="L10" s="465"/>
      <c r="N10" s="19" t="s">
        <v>1748</v>
      </c>
    </row>
    <row r="11" spans="2:14" ht="20.149999999999999" customHeight="1" x14ac:dyDescent="0.45">
      <c r="B11" s="466" t="s">
        <v>1306</v>
      </c>
      <c r="C11" s="467"/>
      <c r="D11" s="468"/>
      <c r="E11" s="25"/>
      <c r="F11" s="469" t="str">
        <f>VLOOKUP(H10,'Delivery Location'!A$4:N$466,2,0)</f>
        <v>R&amp;B TEA SINGAPORE                                  NTU, 76 NANYANG DRIVE #02-03 SINGAPORE 637331</v>
      </c>
      <c r="G11" s="470"/>
      <c r="H11" s="471"/>
      <c r="J11" s="26" t="s">
        <v>9</v>
      </c>
      <c r="K11" s="478">
        <v>45414</v>
      </c>
      <c r="L11" s="479"/>
      <c r="N11" s="19" t="s">
        <v>730</v>
      </c>
    </row>
    <row r="12" spans="2:14" ht="20.149999999999999" customHeight="1" x14ac:dyDescent="0.45">
      <c r="B12" s="480" t="s">
        <v>1307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19" t="s">
        <v>1713</v>
      </c>
    </row>
    <row r="13" spans="2:14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1309</v>
      </c>
    </row>
    <row r="14" spans="2:14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  <c r="N14" s="19" t="s">
        <v>1740</v>
      </c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1309</v>
      </c>
      <c r="D18" s="487" t="str">
        <f>VLOOKUP(C18,'Sales Master'!B$3:D$537,2,)</f>
        <v>Passion Fruit Puree 百香果酱</v>
      </c>
      <c r="E18" s="487"/>
      <c r="F18" s="487"/>
      <c r="G18" s="76">
        <v>1</v>
      </c>
      <c r="H18" s="186" t="str">
        <f>VLOOKUP(C18,'Sales Master'!$B$3:$F$2488,5,0)</f>
        <v>1 KG/ Box盒</v>
      </c>
      <c r="I18" s="484" t="str">
        <f>VLOOKUP(C18,'Sales Master'!$B$3:$E$2488,4,0)</f>
        <v>-</v>
      </c>
      <c r="J18" s="484"/>
      <c r="K18" s="30">
        <f>VLOOKUP(C18,'Sales Master'!B$3:AD$537,29,0)</f>
        <v>8.5</v>
      </c>
      <c r="L18" s="64">
        <f>K18*G18</f>
        <v>8.5</v>
      </c>
      <c r="M18" s="65"/>
      <c r="N18" s="145">
        <f>VLOOKUP(C18,'Sales Master'!$B$3:$DA$2279,104,0)</f>
        <v>4.8</v>
      </c>
      <c r="O18" s="145">
        <f>K18-N18</f>
        <v>3.7</v>
      </c>
      <c r="P18" s="145">
        <f>O18*G18</f>
        <v>3.7</v>
      </c>
    </row>
    <row r="19" spans="2:16" ht="20.149999999999999" customHeight="1" x14ac:dyDescent="0.45">
      <c r="B19" s="29"/>
      <c r="C19" s="212" t="s">
        <v>730</v>
      </c>
      <c r="D19" s="487" t="str">
        <f>VLOOKUP(C19,'Sales Master'!B$3:D$537,2,)</f>
        <v>Grass Jelly 仙草冻</v>
      </c>
      <c r="E19" s="487"/>
      <c r="F19" s="487"/>
      <c r="G19" s="76">
        <v>4</v>
      </c>
      <c r="H19" s="186" t="str">
        <f>VLOOKUP(C19,'Sales Master'!$B$3:$F$2488,5,0)</f>
        <v>1 KG/ Box盒</v>
      </c>
      <c r="I19" s="484" t="str">
        <f>VLOOKUP(C19,'Sales Master'!$B$3:$E$2488,4,0)</f>
        <v>DO!</v>
      </c>
      <c r="J19" s="484"/>
      <c r="K19" s="30">
        <f>VLOOKUP(C19,'Sales Master'!B$3:AD$537,29,0)</f>
        <v>3.5</v>
      </c>
      <c r="L19" s="64">
        <f>K19*G19</f>
        <v>14</v>
      </c>
      <c r="M19" s="65"/>
      <c r="N19" s="145">
        <f>VLOOKUP(C19,'Sales Master'!$B$3:$DA$2279,104,0)</f>
        <v>1.0900000000000001</v>
      </c>
      <c r="O19" s="145">
        <f>K19-N19</f>
        <v>2.41</v>
      </c>
      <c r="P19" s="145">
        <f>O19*G19</f>
        <v>9.64</v>
      </c>
    </row>
    <row r="20" spans="2:16" ht="20.149999999999999" customHeight="1" x14ac:dyDescent="0.45">
      <c r="B20" s="29"/>
      <c r="C20" s="212"/>
      <c r="D20" s="487"/>
      <c r="E20" s="487"/>
      <c r="F20" s="487"/>
      <c r="G20" s="76"/>
      <c r="H20" s="186"/>
      <c r="I20" s="484"/>
      <c r="J20" s="484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2"/>
      <c r="D21" s="487"/>
      <c r="E21" s="487"/>
      <c r="F21" s="487"/>
      <c r="G21" s="76"/>
      <c r="H21" s="186"/>
      <c r="I21" s="484"/>
      <c r="J21" s="484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87"/>
      <c r="E22" s="487"/>
      <c r="F22" s="487"/>
      <c r="G22" s="76"/>
      <c r="H22" s="186"/>
      <c r="I22" s="484"/>
      <c r="J22" s="484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87"/>
      <c r="E24" s="487"/>
      <c r="F24" s="487"/>
      <c r="G24" s="76"/>
      <c r="H24" s="186"/>
      <c r="I24" s="519"/>
      <c r="J24" s="519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87"/>
      <c r="E25" s="487"/>
      <c r="F25" s="487"/>
      <c r="G25" s="76"/>
      <c r="H25" s="165"/>
      <c r="I25" s="494"/>
      <c r="J25" s="494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G26" s="76"/>
      <c r="H26" s="165"/>
      <c r="I26" s="56"/>
      <c r="J26" s="56"/>
      <c r="K26" s="30"/>
      <c r="L26" s="64"/>
      <c r="M26" s="65"/>
      <c r="N26" s="145"/>
      <c r="O26" s="145"/>
      <c r="P26" s="145"/>
    </row>
    <row r="27" spans="2:16" ht="20.149999999999999" customHeight="1" thickBot="1" x14ac:dyDescent="0.5">
      <c r="B27" s="32"/>
      <c r="C27" s="33"/>
      <c r="D27" s="488"/>
      <c r="E27" s="488"/>
      <c r="F27" s="488"/>
      <c r="G27" s="33"/>
      <c r="H27" s="57"/>
      <c r="I27" s="459"/>
      <c r="J27" s="459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89" t="s">
        <v>13</v>
      </c>
      <c r="K29" s="490"/>
      <c r="L29" s="38">
        <f>SUM(L18:L28)</f>
        <v>22.5</v>
      </c>
      <c r="M29" s="63">
        <f>SUM(P18:P28)</f>
        <v>13.34</v>
      </c>
      <c r="N29" s="133">
        <f>M29/L29</f>
        <v>0.59288888888888891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91" t="s">
        <v>19</v>
      </c>
      <c r="K31" s="492"/>
      <c r="L31" s="41">
        <f>L29-L30</f>
        <v>22.5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2.0249999999999999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85" t="s">
        <v>21</v>
      </c>
      <c r="K33" s="486"/>
      <c r="L33" s="43">
        <f>L31+L32</f>
        <v>24.524999999999999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6">
    <mergeCell ref="D24:F24"/>
    <mergeCell ref="I24:J24"/>
    <mergeCell ref="J31:K31"/>
    <mergeCell ref="J33:K33"/>
    <mergeCell ref="D25:F25"/>
    <mergeCell ref="I25:J25"/>
    <mergeCell ref="D27:F27"/>
    <mergeCell ref="I27:J27"/>
    <mergeCell ref="J29:K29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4" orientation="portrait" horizontalDpi="300" verticalDpi="300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EFF09-4990-4365-9820-0DC7074E9EC7}">
  <sheetPr codeName="Sheet210">
    <tabColor rgb="FFFFC000"/>
    <pageSetUpPr fitToPage="1"/>
  </sheetPr>
  <dimension ref="A1:P42"/>
  <sheetViews>
    <sheetView topLeftCell="A26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1:14" x14ac:dyDescent="0.45">
      <c r="A1" s="19" t="s">
        <v>439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1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1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1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1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1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1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1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1:14" ht="19" thickBot="1" x14ac:dyDescent="0.5">
      <c r="B9" s="18"/>
    </row>
    <row r="10" spans="1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1318</v>
      </c>
      <c r="J10" s="24" t="s">
        <v>27</v>
      </c>
      <c r="K10" s="464">
        <v>202412688</v>
      </c>
      <c r="L10" s="465"/>
      <c r="N10" s="147" t="s">
        <v>1713</v>
      </c>
    </row>
    <row r="11" spans="1:14" ht="20.149999999999999" customHeight="1" x14ac:dyDescent="0.45">
      <c r="B11" s="466" t="s">
        <v>1306</v>
      </c>
      <c r="C11" s="467"/>
      <c r="D11" s="468"/>
      <c r="E11" s="25"/>
      <c r="F11" s="469" t="str">
        <f>VLOOKUP(H10,'Delivery Location'!A$4:N$466,2,0)</f>
        <v>R&amp;B TEA SINGAPORE                                          9 RAFFLES BOULEVARD                                #01-K15 MILLENIA WALK,        SINGAPORE 039596</v>
      </c>
      <c r="G11" s="470"/>
      <c r="H11" s="471"/>
      <c r="J11" s="26" t="s">
        <v>9</v>
      </c>
      <c r="K11" s="478">
        <v>45657</v>
      </c>
      <c r="L11" s="479"/>
      <c r="N11" s="147" t="s">
        <v>1748</v>
      </c>
    </row>
    <row r="12" spans="1:14" ht="20.149999999999999" customHeight="1" x14ac:dyDescent="0.45">
      <c r="B12" s="480" t="s">
        <v>1307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147" t="s">
        <v>730</v>
      </c>
    </row>
    <row r="13" spans="1:14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47" t="s">
        <v>1309</v>
      </c>
    </row>
    <row r="14" spans="1:14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  <c r="N14" s="147" t="s">
        <v>786</v>
      </c>
    </row>
    <row r="15" spans="1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  <c r="N15" s="147" t="s">
        <v>1740</v>
      </c>
    </row>
    <row r="16" spans="1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1309</v>
      </c>
      <c r="D18" s="487" t="str">
        <f>VLOOKUP(C18,'Sales Master'!B$3:D$537,2,)</f>
        <v>Passion Fruit Puree 百香果酱</v>
      </c>
      <c r="E18" s="487"/>
      <c r="F18" s="487"/>
      <c r="G18" s="76">
        <v>3</v>
      </c>
      <c r="H18" s="186" t="str">
        <f>VLOOKUP(C18,'Sales Master'!$B$3:$F$2488,5,0)</f>
        <v>1 KG/ Box盒</v>
      </c>
      <c r="I18" s="484" t="str">
        <f>VLOOKUP(C18,'Sales Master'!$B$3:$E$2488,4,0)</f>
        <v>-</v>
      </c>
      <c r="J18" s="484"/>
      <c r="K18" s="30">
        <f>VLOOKUP(C18,'Sales Master'!B$3:AD$537,29,0)</f>
        <v>8.5</v>
      </c>
      <c r="L18" s="64">
        <f>K18*G18</f>
        <v>25.5</v>
      </c>
      <c r="M18" s="65"/>
      <c r="N18" s="145">
        <f>VLOOKUP(C18,'Sales Master'!$B$3:$DA$2279,104,0)</f>
        <v>4.8</v>
      </c>
      <c r="O18" s="145">
        <f>K18-N18</f>
        <v>3.7</v>
      </c>
      <c r="P18" s="145">
        <f>O18*G18</f>
        <v>11.100000000000001</v>
      </c>
    </row>
    <row r="19" spans="2:16" ht="20.149999999999999" customHeight="1" x14ac:dyDescent="0.45">
      <c r="B19" s="29"/>
      <c r="C19" s="212" t="s">
        <v>730</v>
      </c>
      <c r="D19" s="487" t="str">
        <f>VLOOKUP(C19,'Sales Master'!B$3:D$537,2,)</f>
        <v>Grass Jelly 仙草冻</v>
      </c>
      <c r="E19" s="487"/>
      <c r="F19" s="487"/>
      <c r="G19" s="76">
        <v>4</v>
      </c>
      <c r="H19" s="186" t="str">
        <f>VLOOKUP(C19,'Sales Master'!$B$3:$F$2488,5,0)</f>
        <v>1 KG/ Box盒</v>
      </c>
      <c r="I19" s="484" t="str">
        <f>VLOOKUP(C19,'Sales Master'!$B$3:$E$2488,4,0)</f>
        <v>DO!</v>
      </c>
      <c r="J19" s="484"/>
      <c r="K19" s="30">
        <f>VLOOKUP(C19,'Sales Master'!B$3:AD$537,29,0)</f>
        <v>3.5</v>
      </c>
      <c r="L19" s="64">
        <f>K19*G19</f>
        <v>14</v>
      </c>
      <c r="M19" s="65"/>
      <c r="N19" s="145">
        <f>VLOOKUP(C19,'Sales Master'!$B$3:$DA$2279,104,0)</f>
        <v>1.0900000000000001</v>
      </c>
      <c r="O19" s="145">
        <f>K19-N19</f>
        <v>2.41</v>
      </c>
      <c r="P19" s="145">
        <f>O19*G19</f>
        <v>9.64</v>
      </c>
    </row>
    <row r="20" spans="2:16" ht="20.149999999999999" customHeight="1" x14ac:dyDescent="0.45">
      <c r="B20" s="29"/>
      <c r="C20" s="212"/>
      <c r="D20" s="487"/>
      <c r="E20" s="487"/>
      <c r="F20" s="487"/>
      <c r="G20" s="76"/>
      <c r="H20" s="186"/>
      <c r="I20" s="484"/>
      <c r="J20" s="484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2"/>
      <c r="D21" s="487"/>
      <c r="E21" s="487"/>
      <c r="F21" s="487"/>
      <c r="G21" s="76"/>
      <c r="H21" s="186"/>
      <c r="I21" s="484"/>
      <c r="J21" s="484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87"/>
      <c r="E22" s="487"/>
      <c r="F22" s="487"/>
      <c r="G22" s="76"/>
      <c r="H22" s="186"/>
      <c r="I22" s="484"/>
      <c r="J22" s="484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G23" s="76"/>
      <c r="H23" s="186"/>
      <c r="I23" s="208"/>
      <c r="J23" s="208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G24" s="76"/>
      <c r="H24" s="186"/>
      <c r="I24" s="208"/>
      <c r="J24" s="208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2"/>
      <c r="G25" s="76"/>
      <c r="H25" s="186"/>
      <c r="I25" s="208"/>
      <c r="J25" s="208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87"/>
      <c r="E26" s="487"/>
      <c r="F26" s="487"/>
      <c r="G26" s="76"/>
      <c r="H26" s="56"/>
      <c r="I26" s="494"/>
      <c r="J26" s="494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488"/>
      <c r="E28" s="488"/>
      <c r="F28" s="488"/>
      <c r="G28" s="33"/>
      <c r="H28" s="57"/>
      <c r="I28" s="459"/>
      <c r="J28" s="459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SUM(L14:L26)</f>
        <v>39.5</v>
      </c>
      <c r="M30" s="63">
        <f>SUM(P18:P26)</f>
        <v>20.740000000000002</v>
      </c>
      <c r="N30" s="133">
        <f>M30/L30</f>
        <v>0.52506329113924055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39.5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3.5549999999999997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43.055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2">
    <mergeCell ref="I17:J17"/>
    <mergeCell ref="D19:F19"/>
    <mergeCell ref="D18:F18"/>
    <mergeCell ref="I18:J18"/>
    <mergeCell ref="D17:F17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30:K30"/>
    <mergeCell ref="J32:K32"/>
    <mergeCell ref="J34:K34"/>
    <mergeCell ref="D28:F28"/>
    <mergeCell ref="I28:J28"/>
    <mergeCell ref="D26:F26"/>
    <mergeCell ref="I26:J26"/>
    <mergeCell ref="D20:F20"/>
    <mergeCell ref="I20:J20"/>
    <mergeCell ref="D21:F21"/>
    <mergeCell ref="I21:J21"/>
    <mergeCell ref="D22:F22"/>
    <mergeCell ref="I22:J22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B9D82-EB93-4850-9834-3C630BB98546}">
  <sheetPr codeName="Sheet44">
    <tabColor theme="7"/>
    <pageSetUpPr fitToPage="1"/>
  </sheetPr>
  <dimension ref="B1:R44"/>
  <sheetViews>
    <sheetView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7265625" style="19" customWidth="1"/>
    <col min="7" max="7" width="8.54296875" style="19" customWidth="1"/>
    <col min="8" max="8" width="18.7265625" style="19" customWidth="1"/>
    <col min="9" max="9" width="0.7265625" style="19" customWidth="1"/>
    <col min="10" max="10" width="18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  <c r="H9" s="19" t="s">
        <v>1149</v>
      </c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1322</v>
      </c>
      <c r="J10" s="24" t="s">
        <v>27</v>
      </c>
      <c r="K10" s="464">
        <v>202504208</v>
      </c>
      <c r="L10" s="465"/>
    </row>
    <row r="11" spans="2:12" ht="20.149999999999999" customHeight="1" x14ac:dyDescent="0.45">
      <c r="B11" s="466"/>
      <c r="C11" s="467"/>
      <c r="D11" s="468"/>
      <c r="E11" s="25"/>
      <c r="F11" s="469" t="str">
        <f>VLOOKUP(H10,'Delivery Location'!A$4:N$466,2,0)</f>
        <v>Tiong Bahru Soya Bean                               52 Tiong Bahru Road #02-63.        Singapore 168716</v>
      </c>
      <c r="G11" s="470"/>
      <c r="H11" s="471"/>
      <c r="J11" s="26" t="s">
        <v>9</v>
      </c>
      <c r="K11" s="478">
        <v>45755</v>
      </c>
      <c r="L11" s="479"/>
    </row>
    <row r="12" spans="2:12" ht="20.149999999999999" customHeight="1" x14ac:dyDescent="0.45">
      <c r="B12" s="480"/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/>
      <c r="C13" s="453"/>
      <c r="D13" s="481"/>
      <c r="E13" s="25"/>
      <c r="F13" s="472"/>
      <c r="G13" s="473"/>
      <c r="H13" s="474"/>
      <c r="J13" s="26" t="s">
        <v>10</v>
      </c>
      <c r="K13" s="482" t="s">
        <v>421</v>
      </c>
      <c r="L13" s="483"/>
    </row>
    <row r="14" spans="2:12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/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8" ht="30" customHeight="1" thickBot="1" x14ac:dyDescent="0.5">
      <c r="B17" s="7" t="s">
        <v>2</v>
      </c>
      <c r="C17" s="197" t="s">
        <v>3</v>
      </c>
      <c r="D17" s="542" t="s">
        <v>4</v>
      </c>
      <c r="E17" s="531"/>
      <c r="F17" s="543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9" t="s">
        <v>1324</v>
      </c>
      <c r="O17" s="19" t="s">
        <v>1325</v>
      </c>
    </row>
    <row r="18" spans="2:18" ht="20.149999999999999" customHeight="1" x14ac:dyDescent="0.45">
      <c r="B18" s="29"/>
      <c r="C18" s="212" t="s">
        <v>804</v>
      </c>
      <c r="D18" s="498" t="str">
        <f>VLOOKUP(C18,'Sales Master'!B$3:D$537,2,)</f>
        <v>Atap Seeds in Syrup 亚嗒子</v>
      </c>
      <c r="E18" s="498"/>
      <c r="F18" s="498"/>
      <c r="G18" s="76">
        <v>0.33300000000000002</v>
      </c>
      <c r="H18" s="186" t="str">
        <f>VLOOKUP(C18,'Sales Master'!$B$3:$F$2488,5,0)</f>
        <v>NW(2.1:0.9) 3kg/ Bag包</v>
      </c>
      <c r="I18" s="484" t="str">
        <f>VLOOKUP(C18,'Sales Master'!$B$3:$E$2488,4,0)</f>
        <v>DO!</v>
      </c>
      <c r="J18" s="484"/>
      <c r="K18" s="30">
        <f>VLOOKUP(C18,'Sales Master'!B$3:AE$537,30,0)</f>
        <v>13</v>
      </c>
      <c r="L18" s="64">
        <f>K18*G18</f>
        <v>4.3290000000000006</v>
      </c>
      <c r="M18" s="65"/>
      <c r="N18" s="19" t="s">
        <v>992</v>
      </c>
      <c r="O18" s="19" t="s">
        <v>222</v>
      </c>
      <c r="R18" s="63"/>
    </row>
    <row r="19" spans="2:18" ht="20.149999999999999" customHeight="1" x14ac:dyDescent="0.45">
      <c r="B19" s="29"/>
      <c r="C19" s="212" t="s">
        <v>990</v>
      </c>
      <c r="D19" s="498" t="str">
        <f>VLOOKUP(C19,'Sales Master'!B$3:D$537,2,)</f>
        <v>Fine Sugar 白糖</v>
      </c>
      <c r="E19" s="498"/>
      <c r="F19" s="498"/>
      <c r="G19" s="76">
        <v>1</v>
      </c>
      <c r="H19" s="186" t="str">
        <f>VLOOKUP(C19,'Sales Master'!$B$3:$F$2488,5,0)</f>
        <v>25 KGS</v>
      </c>
      <c r="I19" s="484" t="str">
        <f>VLOOKUP(C19,'Sales Master'!$B$3:$E$2488,4,0)</f>
        <v>MITR PHOL/ 蜜朋</v>
      </c>
      <c r="J19" s="484"/>
      <c r="K19" s="30">
        <f>VLOOKUP(C19,'Sales Master'!B$3:AE$537,30,0)</f>
        <v>31.5</v>
      </c>
      <c r="L19" s="64">
        <f>K19*G19</f>
        <v>31.5</v>
      </c>
      <c r="M19" s="65"/>
      <c r="N19" s="19" t="s">
        <v>974</v>
      </c>
      <c r="O19" s="19" t="s">
        <v>261</v>
      </c>
      <c r="R19" s="63"/>
    </row>
    <row r="20" spans="2:18" ht="20.149999999999999" customHeight="1" x14ac:dyDescent="0.45">
      <c r="B20" s="29"/>
      <c r="C20" s="212"/>
      <c r="D20" s="487"/>
      <c r="E20" s="487"/>
      <c r="F20" s="487"/>
      <c r="G20" s="76"/>
      <c r="H20" s="186"/>
      <c r="I20" s="484"/>
      <c r="J20" s="484"/>
      <c r="K20" s="30"/>
      <c r="L20" s="64"/>
      <c r="M20" s="65"/>
      <c r="N20" s="19" t="s">
        <v>885</v>
      </c>
      <c r="O20" s="19" t="s">
        <v>211</v>
      </c>
      <c r="R20" s="63"/>
    </row>
    <row r="21" spans="2:18" ht="20.149999999999999" customHeight="1" x14ac:dyDescent="0.45">
      <c r="B21" s="29"/>
      <c r="C21" s="212"/>
      <c r="D21" s="487"/>
      <c r="E21" s="487"/>
      <c r="F21" s="487"/>
      <c r="G21" s="76"/>
      <c r="H21" s="186"/>
      <c r="I21" s="484"/>
      <c r="J21" s="484"/>
      <c r="K21" s="30"/>
      <c r="L21" s="64"/>
      <c r="M21" s="65"/>
      <c r="N21" s="19" t="s">
        <v>1024</v>
      </c>
      <c r="O21" s="19" t="s">
        <v>338</v>
      </c>
      <c r="R21" s="63"/>
    </row>
    <row r="22" spans="2:18" ht="20.149999999999999" customHeight="1" x14ac:dyDescent="0.45">
      <c r="B22" s="29"/>
      <c r="C22" s="212"/>
      <c r="D22" s="487"/>
      <c r="E22" s="487"/>
      <c r="F22" s="487"/>
      <c r="G22" s="76"/>
      <c r="H22" s="204"/>
      <c r="I22" s="484"/>
      <c r="J22" s="484"/>
      <c r="K22" s="30"/>
      <c r="L22" s="64"/>
      <c r="M22" s="65"/>
      <c r="R22" s="63"/>
    </row>
    <row r="23" spans="2:18" ht="20.149999999999999" customHeight="1" x14ac:dyDescent="0.45">
      <c r="B23" s="29"/>
      <c r="C23" s="212"/>
      <c r="D23" s="487"/>
      <c r="E23" s="487"/>
      <c r="F23" s="487"/>
      <c r="G23" s="76"/>
      <c r="H23" s="204"/>
      <c r="I23" s="484"/>
      <c r="J23" s="484"/>
      <c r="K23" s="30"/>
      <c r="L23" s="64"/>
      <c r="M23" s="65"/>
      <c r="R23" s="63"/>
    </row>
    <row r="24" spans="2:18" ht="20.149999999999999" customHeight="1" x14ac:dyDescent="0.45">
      <c r="B24" s="29"/>
      <c r="C24" s="212"/>
      <c r="G24" s="76"/>
      <c r="H24" s="186"/>
      <c r="I24" s="208"/>
      <c r="J24" s="208"/>
      <c r="K24" s="30"/>
      <c r="L24" s="64"/>
      <c r="M24" s="65"/>
      <c r="N24" s="145"/>
      <c r="O24" s="145"/>
      <c r="P24" s="145"/>
      <c r="R24" s="63"/>
    </row>
    <row r="25" spans="2:18" ht="20.149999999999999" customHeight="1" x14ac:dyDescent="0.45">
      <c r="B25" s="29"/>
      <c r="C25" s="212"/>
      <c r="D25" s="487"/>
      <c r="E25" s="487"/>
      <c r="F25" s="487"/>
      <c r="G25" s="76"/>
      <c r="H25" s="186"/>
      <c r="I25" s="484"/>
      <c r="J25" s="484"/>
      <c r="K25" s="30"/>
      <c r="L25" s="64"/>
      <c r="M25" s="65"/>
      <c r="N25" s="145"/>
      <c r="O25" s="145"/>
      <c r="P25" s="145"/>
      <c r="R25" s="63"/>
    </row>
    <row r="26" spans="2:18" ht="20.149999999999999" customHeight="1" x14ac:dyDescent="0.45">
      <c r="B26" s="29"/>
      <c r="C26" s="198" t="s">
        <v>2133</v>
      </c>
      <c r="D26" s="147"/>
      <c r="E26" s="147"/>
      <c r="F26" s="147"/>
      <c r="G26" s="76"/>
      <c r="H26" s="56"/>
      <c r="I26" s="56"/>
      <c r="J26" s="56"/>
      <c r="K26" s="190"/>
      <c r="L26" s="64"/>
      <c r="M26" s="65"/>
      <c r="N26" s="145"/>
      <c r="O26" s="145"/>
      <c r="P26" s="145"/>
    </row>
    <row r="27" spans="2:18" ht="20.149999999999999" customHeight="1" x14ac:dyDescent="0.45">
      <c r="B27" s="29"/>
      <c r="C27" s="244" t="s">
        <v>990</v>
      </c>
      <c r="D27" s="487" t="str">
        <f>VLOOKUP(C27,'Sales Master'!B$3:D$537,2,)</f>
        <v>Fine Sugar 白糖</v>
      </c>
      <c r="E27" s="487"/>
      <c r="F27" s="487"/>
      <c r="G27" s="76">
        <v>1</v>
      </c>
      <c r="H27" s="186" t="str">
        <f>VLOOKUP(C27,'Sales Master'!$B$3:$F$2488,5,0)</f>
        <v>25 KGS</v>
      </c>
      <c r="I27" s="513" t="str">
        <f>VLOOKUP(C27,'Sales Master'!$B$3:$E$2420,4,0)</f>
        <v>MITR PHOL/ 蜜朋</v>
      </c>
      <c r="J27" s="513"/>
      <c r="K27" s="83">
        <v>31.5</v>
      </c>
      <c r="L27" s="64"/>
      <c r="M27" s="65"/>
      <c r="N27" s="145"/>
      <c r="O27" s="145"/>
      <c r="P27" s="145"/>
    </row>
    <row r="28" spans="2:18" ht="20.149999999999999" customHeight="1" x14ac:dyDescent="0.45">
      <c r="B28" s="29"/>
      <c r="C28" s="244"/>
      <c r="D28" s="446"/>
      <c r="E28" s="446"/>
      <c r="F28" s="446"/>
      <c r="G28" s="76"/>
      <c r="H28" s="183"/>
      <c r="I28" s="513"/>
      <c r="J28" s="513"/>
      <c r="K28" s="83"/>
      <c r="L28" s="64"/>
      <c r="M28" s="65"/>
      <c r="N28" s="145"/>
      <c r="O28" s="145"/>
      <c r="P28" s="145"/>
    </row>
    <row r="29" spans="2:18" ht="20.149999999999999" customHeight="1" x14ac:dyDescent="0.45">
      <c r="B29" s="29"/>
      <c r="C29" s="212"/>
      <c r="D29" s="446"/>
      <c r="E29" s="446"/>
      <c r="F29" s="446"/>
      <c r="G29" s="76"/>
      <c r="H29" s="183"/>
      <c r="I29" s="513"/>
      <c r="J29" s="513"/>
      <c r="K29" s="83"/>
      <c r="L29" s="64"/>
      <c r="M29" s="65"/>
      <c r="N29" s="145"/>
      <c r="O29" s="145"/>
      <c r="P29" s="145"/>
    </row>
    <row r="30" spans="2:18" ht="20.149999999999999" customHeight="1" thickBot="1" x14ac:dyDescent="0.5">
      <c r="B30" s="32"/>
      <c r="C30" s="33"/>
      <c r="D30" s="488"/>
      <c r="E30" s="488"/>
      <c r="F30" s="488"/>
      <c r="G30" s="33"/>
      <c r="H30" s="57"/>
      <c r="I30" s="459"/>
      <c r="J30" s="459"/>
      <c r="K30" s="34"/>
      <c r="L30" s="35"/>
    </row>
    <row r="31" spans="2:18" ht="20.149999999999999" customHeight="1" thickBot="1" x14ac:dyDescent="0.5">
      <c r="B31" s="36"/>
      <c r="L31" s="37"/>
    </row>
    <row r="32" spans="2:18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89" t="s">
        <v>13</v>
      </c>
      <c r="K32" s="490"/>
      <c r="L32" s="38">
        <f>SUM(L14:L30)</f>
        <v>35.829000000000001</v>
      </c>
      <c r="M32" s="63">
        <f>SUM(P18:P30)</f>
        <v>0</v>
      </c>
      <c r="N32" s="133">
        <f>M32/L32</f>
        <v>0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91" t="s">
        <v>19</v>
      </c>
      <c r="K34" s="492"/>
      <c r="L34" s="41">
        <f>L32-L33</f>
        <v>35.829000000000001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3.2246099999999998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85" t="s">
        <v>21</v>
      </c>
      <c r="K36" s="486"/>
      <c r="L36" s="43">
        <f>L34+L35</f>
        <v>39.053609999999999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D18:F18"/>
    <mergeCell ref="D22:F22"/>
    <mergeCell ref="D20:F20"/>
    <mergeCell ref="I20:J20"/>
    <mergeCell ref="I19:J19"/>
    <mergeCell ref="I17:J17"/>
    <mergeCell ref="I22:J22"/>
    <mergeCell ref="I21:J21"/>
    <mergeCell ref="I18:J18"/>
    <mergeCell ref="D21:F21"/>
    <mergeCell ref="D19:F19"/>
    <mergeCell ref="I23:J23"/>
    <mergeCell ref="J36:K36"/>
    <mergeCell ref="D30:F30"/>
    <mergeCell ref="I30:J30"/>
    <mergeCell ref="J32:K32"/>
    <mergeCell ref="D25:F25"/>
    <mergeCell ref="I25:J25"/>
    <mergeCell ref="J34:K34"/>
    <mergeCell ref="D27:F27"/>
    <mergeCell ref="D28:F28"/>
    <mergeCell ref="I28:J28"/>
    <mergeCell ref="D29:F29"/>
    <mergeCell ref="I29:J29"/>
    <mergeCell ref="I27:J27"/>
    <mergeCell ref="D23:F23"/>
  </mergeCells>
  <conditionalFormatting sqref="C26">
    <cfRule type="duplicateValues" dxfId="60" priority="1"/>
  </conditionalFormatting>
  <conditionalFormatting sqref="C27:C28">
    <cfRule type="duplicateValues" dxfId="59" priority="2"/>
  </conditionalFormatting>
  <conditionalFormatting sqref="C29">
    <cfRule type="duplicateValues" dxfId="58" priority="1495"/>
  </conditionalFormatting>
  <pageMargins left="0.70866141732283472" right="0.31496062992125984" top="0.23622047244094491" bottom="0.23622047244094491" header="0.31496062992125984" footer="0.31496062992125984"/>
  <pageSetup paperSize="9" scale="73" orientation="portrait" horizontalDpi="4294967293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0AB79-0721-4F50-94C6-066112EA6FC1}">
  <sheetPr codeName="Sheet208">
    <tabColor rgb="FFFFC000"/>
    <pageSetUpPr fitToPage="1"/>
  </sheetPr>
  <dimension ref="A1:P40"/>
  <sheetViews>
    <sheetView topLeftCell="A15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1:14" x14ac:dyDescent="0.45">
      <c r="A1" s="19" t="s">
        <v>439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1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1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1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1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1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1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1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1:14" ht="19" thickBot="1" x14ac:dyDescent="0.5">
      <c r="B9" s="18"/>
    </row>
    <row r="10" spans="1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1338</v>
      </c>
      <c r="J10" s="24" t="s">
        <v>27</v>
      </c>
      <c r="K10" s="464">
        <v>202412166</v>
      </c>
      <c r="L10" s="465"/>
    </row>
    <row r="11" spans="1:14" ht="20.149999999999999" customHeight="1" x14ac:dyDescent="0.45">
      <c r="B11" s="466" t="s">
        <v>1306</v>
      </c>
      <c r="C11" s="467"/>
      <c r="D11" s="468"/>
      <c r="E11" s="25"/>
      <c r="F11" s="469" t="str">
        <f>VLOOKUP(H10,'Delivery Location'!A$4:N$466,2,0)</f>
        <v>R&amp;B TEA SINGAPORE                                  20 TAMPINES CENTRAL                          #01-18 TAMPINES MRT,          SINGAPORE 529538</v>
      </c>
      <c r="G11" s="470"/>
      <c r="H11" s="471"/>
      <c r="J11" s="26" t="s">
        <v>9</v>
      </c>
      <c r="K11" s="478">
        <v>45635</v>
      </c>
      <c r="L11" s="479"/>
    </row>
    <row r="12" spans="1:14" ht="20.149999999999999" customHeight="1" x14ac:dyDescent="0.45">
      <c r="B12" s="480" t="s">
        <v>1307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1:14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1:14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  <c r="N14" s="17"/>
    </row>
    <row r="15" spans="1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1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9" t="s">
        <v>1309</v>
      </c>
      <c r="O17" s="19" t="s">
        <v>1868</v>
      </c>
    </row>
    <row r="18" spans="2:16" ht="20.149999999999999" customHeight="1" x14ac:dyDescent="0.45">
      <c r="B18" s="29"/>
      <c r="C18" s="212" t="s">
        <v>1309</v>
      </c>
      <c r="D18" s="487" t="str">
        <f>VLOOKUP(C18,'Sales Master'!B$3:D$537,2,)</f>
        <v>Passion Fruit Puree 百香果酱</v>
      </c>
      <c r="E18" s="487"/>
      <c r="F18" s="487"/>
      <c r="G18" s="76">
        <v>1</v>
      </c>
      <c r="H18" s="186" t="str">
        <f>VLOOKUP(C18,'Sales Master'!$B$3:$F$2488,5,0)</f>
        <v>1 KG/ Box盒</v>
      </c>
      <c r="I18" s="484" t="str">
        <f>VLOOKUP(C18,'Sales Master'!$B$3:$E$2488,4,0)</f>
        <v>-</v>
      </c>
      <c r="J18" s="484"/>
      <c r="K18" s="30">
        <f>VLOOKUP(C18,'Sales Master'!B$3:AD$537,29,0)</f>
        <v>8.5</v>
      </c>
      <c r="L18" s="64">
        <f>K18*G18</f>
        <v>8.5</v>
      </c>
      <c r="M18" s="65"/>
      <c r="N18" s="19" t="s">
        <v>730</v>
      </c>
      <c r="O18" s="19" t="s">
        <v>1348</v>
      </c>
    </row>
    <row r="19" spans="2:16" ht="20.149999999999999" customHeight="1" x14ac:dyDescent="0.45">
      <c r="B19" s="29"/>
      <c r="C19" s="212" t="s">
        <v>730</v>
      </c>
      <c r="D19" s="487" t="str">
        <f>VLOOKUP(C19,'Sales Master'!B$3:D$537,2,)</f>
        <v>Grass Jelly 仙草冻</v>
      </c>
      <c r="E19" s="487"/>
      <c r="F19" s="487"/>
      <c r="G19" s="76">
        <v>6</v>
      </c>
      <c r="H19" s="186" t="str">
        <f>VLOOKUP(C19,'Sales Master'!$B$3:$F$2488,5,0)</f>
        <v>1 KG/ Box盒</v>
      </c>
      <c r="I19" s="484" t="str">
        <f>VLOOKUP(C19,'Sales Master'!$B$3:$E$2488,4,0)</f>
        <v>DO!</v>
      </c>
      <c r="J19" s="484"/>
      <c r="K19" s="30">
        <f>VLOOKUP(C19,'Sales Master'!B$3:AD$537,29,0)</f>
        <v>3.5</v>
      </c>
      <c r="L19" s="64">
        <f>K19*G19</f>
        <v>21</v>
      </c>
      <c r="M19" s="65"/>
      <c r="N19" s="19" t="s">
        <v>1713</v>
      </c>
      <c r="O19" s="19" t="s">
        <v>1869</v>
      </c>
    </row>
    <row r="20" spans="2:16" ht="20.149999999999999" customHeight="1" x14ac:dyDescent="0.45">
      <c r="B20" s="29"/>
      <c r="C20" s="212" t="s">
        <v>786</v>
      </c>
      <c r="D20" s="487" t="str">
        <f>VLOOKUP(C20,'Sales Master'!B$3:D$537,2,)</f>
        <v>Tapioca Flour 茨粉</v>
      </c>
      <c r="E20" s="487"/>
      <c r="F20" s="487"/>
      <c r="G20" s="76">
        <v>2</v>
      </c>
      <c r="H20" s="186" t="str">
        <f>VLOOKUP(C20,'Sales Master'!$B$3:$F$2488,5,0)</f>
        <v xml:space="preserve">500 GM/pkt </v>
      </c>
      <c r="I20" s="484" t="str">
        <f>VLOOKUP(C20,'Sales Master'!$B$3:$E$2488,4,0)</f>
        <v>F/man 飞人</v>
      </c>
      <c r="J20" s="484"/>
      <c r="K20" s="30">
        <f>VLOOKUP(C20,'Sales Master'!B$3:AD$537,29,0)</f>
        <v>0.8</v>
      </c>
      <c r="L20" s="64">
        <f>K20*G20</f>
        <v>1.6</v>
      </c>
      <c r="M20" s="65"/>
      <c r="N20" s="19" t="s">
        <v>786</v>
      </c>
      <c r="O20" s="19" t="s">
        <v>224</v>
      </c>
    </row>
    <row r="21" spans="2:16" ht="20.149999999999999" customHeight="1" x14ac:dyDescent="0.45">
      <c r="B21" s="29"/>
      <c r="C21" s="212"/>
      <c r="D21" s="487"/>
      <c r="E21" s="487"/>
      <c r="F21" s="487"/>
      <c r="G21" s="76"/>
      <c r="H21" s="186"/>
      <c r="I21" s="484"/>
      <c r="J21" s="484"/>
      <c r="K21" s="30"/>
      <c r="L21" s="64"/>
      <c r="M21" s="65"/>
      <c r="N21" s="19" t="s">
        <v>1740</v>
      </c>
      <c r="O21" s="19" t="s">
        <v>1534</v>
      </c>
    </row>
    <row r="22" spans="2:16" ht="20.149999999999999" customHeight="1" x14ac:dyDescent="0.45">
      <c r="B22" s="29"/>
      <c r="C22" s="212"/>
      <c r="D22" s="487"/>
      <c r="E22" s="487"/>
      <c r="F22" s="487"/>
      <c r="G22" s="76"/>
      <c r="H22" s="186"/>
      <c r="I22" s="484"/>
      <c r="J22" s="484"/>
      <c r="K22" s="30"/>
      <c r="L22" s="64"/>
      <c r="M22" s="65"/>
      <c r="N22" s="17" t="s">
        <v>786</v>
      </c>
    </row>
    <row r="23" spans="2:16" ht="20.149999999999999" customHeight="1" x14ac:dyDescent="0.45">
      <c r="B23" s="29"/>
      <c r="C23" s="212"/>
      <c r="D23" s="487"/>
      <c r="E23" s="487"/>
      <c r="F23" s="487"/>
      <c r="G23" s="76"/>
      <c r="H23" s="186"/>
      <c r="I23" s="484"/>
      <c r="J23" s="484"/>
      <c r="K23" s="30"/>
      <c r="L23" s="64"/>
      <c r="M23" s="65"/>
      <c r="N23" s="19" t="s">
        <v>1267</v>
      </c>
    </row>
    <row r="24" spans="2:16" ht="20.149999999999999" customHeight="1" x14ac:dyDescent="0.45">
      <c r="B24" s="29"/>
      <c r="C24" s="17"/>
      <c r="D24" s="487"/>
      <c r="E24" s="487"/>
      <c r="F24" s="487"/>
      <c r="G24" s="76"/>
      <c r="H24" s="165"/>
      <c r="I24" s="494"/>
      <c r="J24" s="494"/>
      <c r="K24" s="30"/>
      <c r="L24" s="64"/>
      <c r="M24" s="65"/>
    </row>
    <row r="25" spans="2:16" ht="20.149999999999999" customHeight="1" x14ac:dyDescent="0.45">
      <c r="B25" s="29"/>
      <c r="C25" s="17"/>
      <c r="G25" s="76"/>
      <c r="H25" s="165"/>
      <c r="I25" s="56"/>
      <c r="J25" s="56"/>
      <c r="K25" s="30"/>
      <c r="L25" s="64"/>
      <c r="M25" s="65"/>
      <c r="N25" s="145"/>
      <c r="O25" s="145"/>
      <c r="P25" s="145"/>
    </row>
    <row r="26" spans="2:16" ht="20.149999999999999" customHeight="1" thickBot="1" x14ac:dyDescent="0.5">
      <c r="B26" s="32"/>
      <c r="C26" s="33"/>
      <c r="D26" s="488"/>
      <c r="E26" s="488"/>
      <c r="F26" s="488"/>
      <c r="G26" s="33"/>
      <c r="H26" s="57"/>
      <c r="I26" s="459"/>
      <c r="J26" s="459"/>
      <c r="K26" s="34"/>
      <c r="L26" s="35"/>
    </row>
    <row r="27" spans="2:16" ht="20.149999999999999" customHeight="1" thickBot="1" x14ac:dyDescent="0.5">
      <c r="B27" s="36"/>
      <c r="L27" s="37"/>
    </row>
    <row r="28" spans="2:16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89" t="s">
        <v>13</v>
      </c>
      <c r="K28" s="490"/>
      <c r="L28" s="38">
        <f>SUM(L14:L24)</f>
        <v>31.1</v>
      </c>
      <c r="M28" s="63">
        <f>SUM(P18:P24)</f>
        <v>0</v>
      </c>
      <c r="N28" s="133">
        <f>M28/L28</f>
        <v>0</v>
      </c>
    </row>
    <row r="29" spans="2:16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6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91" t="s">
        <v>19</v>
      </c>
      <c r="K30" s="492"/>
      <c r="L30" s="41">
        <f>L28-L29</f>
        <v>31.1</v>
      </c>
    </row>
    <row r="31" spans="2:16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2.7989999999999999</v>
      </c>
    </row>
    <row r="32" spans="2:16" ht="20.149999999999999" customHeight="1" thickBot="1" x14ac:dyDescent="0.5">
      <c r="B32" s="10" t="s">
        <v>23</v>
      </c>
      <c r="C32" s="6"/>
      <c r="D32" s="6"/>
      <c r="E32" s="6"/>
      <c r="F32" s="6"/>
      <c r="G32" s="6"/>
      <c r="H32" s="6"/>
      <c r="I32" s="6"/>
      <c r="J32" s="485" t="s">
        <v>21</v>
      </c>
      <c r="K32" s="486"/>
      <c r="L32" s="43">
        <f>L30+L31</f>
        <v>33.899000000000001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36"/>
      <c r="L34" s="37"/>
    </row>
    <row r="35" spans="2:12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</sheetData>
  <mergeCells count="34">
    <mergeCell ref="D21:F21"/>
    <mergeCell ref="I21:J21"/>
    <mergeCell ref="D22:F22"/>
    <mergeCell ref="I22:J22"/>
    <mergeCell ref="D20:F20"/>
    <mergeCell ref="I20:J20"/>
    <mergeCell ref="J32:K32"/>
    <mergeCell ref="D24:F24"/>
    <mergeCell ref="I24:J24"/>
    <mergeCell ref="D23:F23"/>
    <mergeCell ref="I23:J23"/>
    <mergeCell ref="D26:F26"/>
    <mergeCell ref="I26:J26"/>
    <mergeCell ref="J28:K28"/>
    <mergeCell ref="J30:K3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9:F19"/>
    <mergeCell ref="I19:J19"/>
    <mergeCell ref="I17:J17"/>
    <mergeCell ref="D18:F18"/>
    <mergeCell ref="D17:F17"/>
    <mergeCell ref="I18:J18"/>
  </mergeCells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3C928-C8A7-438B-ADFA-83F65013FDAD}">
  <sheetPr codeName="Sheet207">
    <tabColor rgb="FFFFC000"/>
    <pageSetUpPr fitToPage="1"/>
  </sheetPr>
  <dimension ref="B1:P43"/>
  <sheetViews>
    <sheetView topLeftCell="A23" workbookViewId="0">
      <selection activeCell="D25" sqref="D25:F2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5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5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5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5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5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5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5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  <c r="N8" s="19" t="s">
        <v>1309</v>
      </c>
      <c r="O8" s="19" t="s">
        <v>1868</v>
      </c>
    </row>
    <row r="9" spans="2:15" ht="19" thickBot="1" x14ac:dyDescent="0.5">
      <c r="B9" s="18"/>
      <c r="N9" s="19" t="s">
        <v>730</v>
      </c>
      <c r="O9" s="19" t="s">
        <v>1348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1339</v>
      </c>
      <c r="J10" s="24" t="s">
        <v>27</v>
      </c>
      <c r="K10" s="464">
        <v>202412672</v>
      </c>
      <c r="L10" s="465"/>
      <c r="N10" s="19" t="s">
        <v>1713</v>
      </c>
      <c r="O10" s="19" t="s">
        <v>1869</v>
      </c>
    </row>
    <row r="11" spans="2:15" ht="20.149999999999999" customHeight="1" x14ac:dyDescent="0.45">
      <c r="B11" s="466" t="s">
        <v>1306</v>
      </c>
      <c r="C11" s="467"/>
      <c r="D11" s="468"/>
      <c r="E11" s="25"/>
      <c r="F11" s="469" t="str">
        <f>VLOOKUP(H10,'Delivery Location'!A$4:N$466,2,0)</f>
        <v>R&amp;B TEA SINGAPORE                                  470 TOA PAYOH LORONG 6                   SINGAPORE 310470</v>
      </c>
      <c r="G11" s="470"/>
      <c r="H11" s="471"/>
      <c r="J11" s="26" t="s">
        <v>9</v>
      </c>
      <c r="K11" s="478">
        <v>45657</v>
      </c>
      <c r="L11" s="479"/>
      <c r="N11" s="19" t="s">
        <v>786</v>
      </c>
      <c r="O11" s="19" t="s">
        <v>224</v>
      </c>
    </row>
    <row r="12" spans="2:15" ht="20.149999999999999" customHeight="1" x14ac:dyDescent="0.45">
      <c r="B12" s="480" t="s">
        <v>1307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19" t="s">
        <v>1740</v>
      </c>
      <c r="O12" s="19" t="s">
        <v>1534</v>
      </c>
    </row>
    <row r="13" spans="2:15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730</v>
      </c>
    </row>
    <row r="14" spans="2:15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  <c r="N14" s="19" t="s">
        <v>1713</v>
      </c>
    </row>
    <row r="15" spans="2:15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1309</v>
      </c>
      <c r="D18" s="487" t="str">
        <f>VLOOKUP(C18,'Sales Master'!B$3:D$537,2,)</f>
        <v>Passion Fruit Puree 百香果酱</v>
      </c>
      <c r="E18" s="487"/>
      <c r="F18" s="487"/>
      <c r="G18" s="76">
        <v>2</v>
      </c>
      <c r="H18" s="186" t="str">
        <f>VLOOKUP(C18,'Sales Master'!$B$3:$F$2488,5,0)</f>
        <v>1 KG/ Box盒</v>
      </c>
      <c r="I18" s="484" t="str">
        <f>VLOOKUP(C18,'Sales Master'!$B$3:$E$2488,4,0)</f>
        <v>-</v>
      </c>
      <c r="J18" s="484"/>
      <c r="K18" s="30">
        <f>VLOOKUP(C18,'Sales Master'!B$3:AD$537,29,0)</f>
        <v>8.5</v>
      </c>
      <c r="L18" s="64">
        <f>K18*G18</f>
        <v>17</v>
      </c>
      <c r="M18" s="65"/>
      <c r="N18" s="145">
        <f>VLOOKUP(C18,'Sales Master'!$B$3:$DA$2279,104,0)</f>
        <v>4.8</v>
      </c>
      <c r="O18" s="145">
        <f>K18-N18</f>
        <v>3.7</v>
      </c>
      <c r="P18" s="145">
        <f>O18*G18</f>
        <v>7.4</v>
      </c>
    </row>
    <row r="19" spans="2:16" ht="20.149999999999999" customHeight="1" x14ac:dyDescent="0.45">
      <c r="B19" s="29"/>
      <c r="C19" s="212" t="s">
        <v>730</v>
      </c>
      <c r="D19" s="487" t="str">
        <f>VLOOKUP(C19,'Sales Master'!B$3:D$537,2,)</f>
        <v>Grass Jelly 仙草冻</v>
      </c>
      <c r="E19" s="487"/>
      <c r="F19" s="487"/>
      <c r="G19" s="76">
        <v>8</v>
      </c>
      <c r="H19" s="186" t="str">
        <f>VLOOKUP(C19,'Sales Master'!$B$3:$F$2488,5,0)</f>
        <v>1 KG/ Box盒</v>
      </c>
      <c r="I19" s="484" t="str">
        <f>VLOOKUP(C19,'Sales Master'!$B$3:$E$2488,4,0)</f>
        <v>DO!</v>
      </c>
      <c r="J19" s="484"/>
      <c r="K19" s="30">
        <f>VLOOKUP(C19,'Sales Master'!B$3:AD$537,29,0)</f>
        <v>3.5</v>
      </c>
      <c r="L19" s="64">
        <f t="shared" ref="L19" si="0">K19*G19</f>
        <v>28</v>
      </c>
      <c r="M19" s="65"/>
      <c r="N19" s="145">
        <f>VLOOKUP(C19,'Sales Master'!$B$3:$DA$2279,104,0)</f>
        <v>1.0900000000000001</v>
      </c>
      <c r="O19" s="145">
        <f t="shared" ref="O19" si="1">K19-N19</f>
        <v>2.41</v>
      </c>
      <c r="P19" s="145">
        <f t="shared" ref="P19" si="2">O19*G19</f>
        <v>19.28</v>
      </c>
    </row>
    <row r="20" spans="2:16" ht="20.149999999999999" customHeight="1" x14ac:dyDescent="0.45">
      <c r="B20" s="29"/>
      <c r="C20" s="212" t="s">
        <v>786</v>
      </c>
      <c r="D20" s="487" t="str">
        <f>VLOOKUP(C20,'Sales Master'!B$3:D$537,2,)</f>
        <v>Tapioca Flour 茨粉</v>
      </c>
      <c r="E20" s="487"/>
      <c r="F20" s="487"/>
      <c r="G20" s="76">
        <v>2</v>
      </c>
      <c r="H20" s="186" t="str">
        <f>VLOOKUP(C20,'Sales Master'!$B$3:$F$2488,5,0)</f>
        <v xml:space="preserve">500 GM/pkt </v>
      </c>
      <c r="I20" s="484" t="str">
        <f>VLOOKUP(C20,'Sales Master'!$B$3:$E$2488,4,0)</f>
        <v>F/man 飞人</v>
      </c>
      <c r="J20" s="484"/>
      <c r="K20" s="30">
        <f>VLOOKUP(C20,'Sales Master'!B$3:AD$537,29,0)</f>
        <v>0.8</v>
      </c>
      <c r="L20" s="64">
        <f>K20*G20</f>
        <v>1.6</v>
      </c>
      <c r="M20" s="65"/>
      <c r="N20" s="145">
        <f>VLOOKUP(C20,'Sales Master'!$B$3:$DA$2279,104,0)</f>
        <v>0.62</v>
      </c>
      <c r="O20" s="145">
        <f>K20-N20</f>
        <v>0.18000000000000005</v>
      </c>
      <c r="P20" s="145">
        <f>O20*G20</f>
        <v>0.3600000000000001</v>
      </c>
    </row>
    <row r="21" spans="2:16" ht="20.149999999999999" customHeight="1" x14ac:dyDescent="0.45">
      <c r="B21" s="29"/>
      <c r="C21" s="212"/>
      <c r="D21" s="487"/>
      <c r="E21" s="487"/>
      <c r="F21" s="487"/>
      <c r="G21" s="76"/>
      <c r="H21" s="186"/>
      <c r="I21" s="484"/>
      <c r="J21" s="484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87"/>
      <c r="E22" s="487"/>
      <c r="F22" s="487"/>
      <c r="G22" s="76"/>
      <c r="H22" s="186"/>
      <c r="I22" s="484"/>
      <c r="J22" s="484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G23" s="76"/>
      <c r="H23" s="186"/>
      <c r="I23" s="208"/>
      <c r="J23" s="208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D24" s="487"/>
      <c r="E24" s="487"/>
      <c r="F24" s="487"/>
      <c r="G24" s="76"/>
      <c r="H24" s="186"/>
      <c r="I24" s="484"/>
      <c r="J24" s="484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2"/>
      <c r="D25" s="487"/>
      <c r="E25" s="487"/>
      <c r="F25" s="487"/>
      <c r="G25" s="76"/>
      <c r="H25" s="186"/>
      <c r="I25" s="484"/>
      <c r="J25" s="484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2"/>
      <c r="D26" s="487"/>
      <c r="E26" s="487"/>
      <c r="F26" s="487"/>
      <c r="G26" s="76"/>
      <c r="H26" s="186"/>
      <c r="I26" s="484"/>
      <c r="J26" s="484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2"/>
      <c r="D27" s="487"/>
      <c r="E27" s="487"/>
      <c r="F27" s="487"/>
      <c r="G27" s="76"/>
      <c r="H27" s="186"/>
      <c r="I27" s="484"/>
      <c r="J27" s="484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D28" s="487"/>
      <c r="E28" s="487"/>
      <c r="F28" s="487"/>
      <c r="G28" s="76"/>
      <c r="H28" s="56"/>
      <c r="I28" s="494"/>
      <c r="J28" s="494"/>
      <c r="K28" s="30"/>
      <c r="L28" s="64"/>
      <c r="M28" s="65"/>
      <c r="N28" s="145"/>
      <c r="O28" s="145"/>
      <c r="P28" s="145"/>
    </row>
    <row r="29" spans="2:16" ht="20.149999999999999" customHeight="1" thickBot="1" x14ac:dyDescent="0.5">
      <c r="B29" s="32"/>
      <c r="C29" s="33"/>
      <c r="D29" s="488"/>
      <c r="E29" s="488"/>
      <c r="F29" s="488"/>
      <c r="G29" s="33"/>
      <c r="H29" s="57"/>
      <c r="I29" s="459"/>
      <c r="J29" s="459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89" t="s">
        <v>13</v>
      </c>
      <c r="K31" s="490"/>
      <c r="L31" s="38">
        <f>SUM(L14:L28)</f>
        <v>46.6</v>
      </c>
      <c r="M31" s="63">
        <f>SUM(P18:P28)</f>
        <v>27.04</v>
      </c>
      <c r="N31" s="133">
        <f>M31/L31</f>
        <v>0.58025751072961373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91" t="s">
        <v>19</v>
      </c>
      <c r="K33" s="492"/>
      <c r="L33" s="41">
        <f>L31-L32</f>
        <v>46.6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4.194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85" t="s">
        <v>21</v>
      </c>
      <c r="K35" s="486"/>
      <c r="L35" s="43">
        <f>L33+L34</f>
        <v>50.794000000000004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D24:F24"/>
    <mergeCell ref="I24:J24"/>
    <mergeCell ref="J33:K33"/>
    <mergeCell ref="J35:K35"/>
    <mergeCell ref="D28:F28"/>
    <mergeCell ref="I28:J28"/>
    <mergeCell ref="D25:F25"/>
    <mergeCell ref="I25:J25"/>
    <mergeCell ref="D26:F26"/>
    <mergeCell ref="I26:J26"/>
    <mergeCell ref="D27:F27"/>
    <mergeCell ref="I27:J27"/>
    <mergeCell ref="D29:F29"/>
    <mergeCell ref="I29:J29"/>
    <mergeCell ref="J31:K31"/>
    <mergeCell ref="D21:F21"/>
    <mergeCell ref="I21:J21"/>
    <mergeCell ref="D18:F18"/>
    <mergeCell ref="I18:J18"/>
    <mergeCell ref="D17:F17"/>
    <mergeCell ref="D19:F19"/>
    <mergeCell ref="I19:J19"/>
    <mergeCell ref="D20:F20"/>
    <mergeCell ref="I20:J20"/>
    <mergeCell ref="D22:F22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</mergeCells>
  <pageMargins left="0.70866141732283472" right="0.31496062992125984" top="0.59055118110236227" bottom="0" header="0.31496062992125984" footer="0.31496062992125984"/>
  <pageSetup paperSize="9" scale="73" orientation="portrait" horizontalDpi="300" verticalDpi="300" r:id="rId1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D9242-E218-4C4E-AB97-6512F4B703F0}">
  <sheetPr codeName="Sheet206">
    <tabColor rgb="FFFFC000"/>
    <pageSetUpPr fitToPage="1"/>
  </sheetPr>
  <dimension ref="B1:O43"/>
  <sheetViews>
    <sheetView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5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5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5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5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5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5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5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5" ht="19" thickBot="1" x14ac:dyDescent="0.5">
      <c r="B9" s="18"/>
      <c r="N9" s="19" t="s">
        <v>1309</v>
      </c>
      <c r="O9" s="19" t="s">
        <v>1868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1340</v>
      </c>
      <c r="J10" s="24" t="s">
        <v>27</v>
      </c>
      <c r="K10" s="464">
        <v>202504199</v>
      </c>
      <c r="L10" s="465"/>
      <c r="N10" s="19" t="s">
        <v>730</v>
      </c>
      <c r="O10" s="19" t="s">
        <v>1348</v>
      </c>
    </row>
    <row r="11" spans="2:15" ht="20.149999999999999" customHeight="1" x14ac:dyDescent="0.45">
      <c r="B11" s="469" t="s">
        <v>1306</v>
      </c>
      <c r="C11" s="470"/>
      <c r="D11" s="471"/>
      <c r="E11" s="25"/>
      <c r="F11" s="469" t="str">
        <f>VLOOKUP(H10,'Delivery Location'!A$4:N$466,2,0)</f>
        <v>R&amp;B TEA SINGAPORE                                  991 BUANGKOK LINK #01-27 SINGAPORE 530991</v>
      </c>
      <c r="G11" s="470"/>
      <c r="H11" s="471"/>
      <c r="J11" s="26" t="s">
        <v>9</v>
      </c>
      <c r="K11" s="478">
        <v>45755</v>
      </c>
      <c r="L11" s="479"/>
      <c r="N11" s="19" t="s">
        <v>1713</v>
      </c>
      <c r="O11" s="19" t="s">
        <v>1869</v>
      </c>
    </row>
    <row r="12" spans="2:15" ht="20.149999999999999" customHeight="1" x14ac:dyDescent="0.45">
      <c r="B12" s="480" t="s">
        <v>1307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19" t="s">
        <v>786</v>
      </c>
      <c r="O12" s="19" t="s">
        <v>224</v>
      </c>
    </row>
    <row r="13" spans="2:15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1740</v>
      </c>
      <c r="O13" s="19" t="s">
        <v>1534</v>
      </c>
    </row>
    <row r="14" spans="2:15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  <c r="N14" s="17" t="s">
        <v>730</v>
      </c>
    </row>
    <row r="15" spans="2:15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  <c r="N15" s="17" t="s">
        <v>1267</v>
      </c>
    </row>
    <row r="16" spans="2:15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2" t="s">
        <v>1309</v>
      </c>
      <c r="D18" s="487" t="str">
        <f>VLOOKUP(C18,'Sales Master'!B$3:D$537,2,)</f>
        <v>Passion Fruit Puree 百香果酱</v>
      </c>
      <c r="E18" s="487"/>
      <c r="F18" s="487"/>
      <c r="G18" s="76">
        <v>1</v>
      </c>
      <c r="H18" s="186" t="str">
        <f>VLOOKUP(C18,'Sales Master'!$B$3:$F$2488,5,0)</f>
        <v>1 KG/ Box盒</v>
      </c>
      <c r="I18" s="484" t="str">
        <f>VLOOKUP(C18,'Sales Master'!$B$3:$E$2488,4,0)</f>
        <v>-</v>
      </c>
      <c r="J18" s="484"/>
      <c r="K18" s="30">
        <f>VLOOKUP(C18,'Sales Master'!B$3:AD$537,29,0)</f>
        <v>8.5</v>
      </c>
      <c r="L18" s="64">
        <f>K18*G18</f>
        <v>8.5</v>
      </c>
      <c r="M18" s="65"/>
    </row>
    <row r="19" spans="2:13" ht="20.149999999999999" customHeight="1" x14ac:dyDescent="0.45">
      <c r="B19" s="29"/>
      <c r="C19" s="212" t="s">
        <v>730</v>
      </c>
      <c r="D19" s="487" t="str">
        <f>VLOOKUP(C19,'Sales Master'!B$3:D$537,2,)</f>
        <v>Grass Jelly 仙草冻</v>
      </c>
      <c r="E19" s="487"/>
      <c r="F19" s="487"/>
      <c r="G19" s="76">
        <v>5</v>
      </c>
      <c r="H19" s="186" t="str">
        <f>VLOOKUP(C19,'Sales Master'!$B$3:$F$2488,5,0)</f>
        <v>1 KG/ Box盒</v>
      </c>
      <c r="I19" s="484" t="str">
        <f>VLOOKUP(C19,'Sales Master'!$B$3:$E$2488,4,0)</f>
        <v>DO!</v>
      </c>
      <c r="J19" s="484"/>
      <c r="K19" s="30">
        <f>VLOOKUP(C19,'Sales Master'!B$3:AD$537,29,0)</f>
        <v>3.5</v>
      </c>
      <c r="L19" s="64">
        <f>K19*G19</f>
        <v>17.5</v>
      </c>
      <c r="M19" s="65"/>
    </row>
    <row r="20" spans="2:13" ht="20.149999999999999" customHeight="1" x14ac:dyDescent="0.45">
      <c r="B20" s="29"/>
      <c r="C20" s="212"/>
      <c r="D20" s="487"/>
      <c r="E20" s="487"/>
      <c r="F20" s="487"/>
      <c r="G20" s="76"/>
      <c r="H20" s="186"/>
      <c r="I20" s="484"/>
      <c r="J20" s="484"/>
      <c r="K20" s="30"/>
      <c r="L20" s="64"/>
      <c r="M20" s="65"/>
    </row>
    <row r="21" spans="2:13" ht="20.149999999999999" customHeight="1" x14ac:dyDescent="0.45">
      <c r="B21" s="29"/>
      <c r="C21" s="212"/>
      <c r="D21" s="524"/>
      <c r="E21" s="524"/>
      <c r="F21" s="524"/>
      <c r="G21" s="76"/>
      <c r="H21" s="186"/>
      <c r="I21" s="484"/>
      <c r="J21" s="484"/>
      <c r="K21" s="30"/>
      <c r="L21" s="64"/>
      <c r="M21" s="65"/>
    </row>
    <row r="22" spans="2:13" ht="20.149999999999999" customHeight="1" x14ac:dyDescent="0.45">
      <c r="B22" s="29"/>
      <c r="C22" s="212"/>
      <c r="D22" s="487"/>
      <c r="E22" s="487"/>
      <c r="F22" s="487"/>
      <c r="G22" s="76"/>
      <c r="H22" s="186"/>
      <c r="I22" s="484"/>
      <c r="J22" s="484"/>
      <c r="K22" s="30"/>
      <c r="L22" s="64"/>
      <c r="M22" s="65"/>
    </row>
    <row r="23" spans="2:13" ht="20.149999999999999" customHeight="1" x14ac:dyDescent="0.45">
      <c r="B23" s="29"/>
      <c r="C23" s="212"/>
      <c r="D23" s="487"/>
      <c r="E23" s="487"/>
      <c r="F23" s="487"/>
      <c r="G23" s="76"/>
      <c r="H23" s="186"/>
      <c r="I23" s="484"/>
      <c r="J23" s="484"/>
      <c r="K23" s="30"/>
      <c r="L23" s="64"/>
      <c r="M23" s="65"/>
    </row>
    <row r="24" spans="2:13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64"/>
      <c r="M24" s="65"/>
    </row>
    <row r="25" spans="2:13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64"/>
      <c r="M25" s="65"/>
    </row>
    <row r="26" spans="2:13" ht="20.149999999999999" customHeight="1" x14ac:dyDescent="0.45">
      <c r="B26" s="29"/>
      <c r="C26" s="17"/>
      <c r="D26" s="487"/>
      <c r="E26" s="487"/>
      <c r="F26" s="487"/>
      <c r="G26" s="76"/>
      <c r="H26" s="186"/>
      <c r="I26" s="519"/>
      <c r="J26" s="519"/>
      <c r="K26" s="30"/>
      <c r="L26" s="64"/>
      <c r="M26" s="65"/>
    </row>
    <row r="27" spans="2:13" ht="20.149999999999999" customHeight="1" x14ac:dyDescent="0.45">
      <c r="B27" s="29"/>
      <c r="C27" s="17"/>
      <c r="D27" s="487"/>
      <c r="E27" s="487"/>
      <c r="F27" s="487"/>
      <c r="G27" s="76"/>
      <c r="H27" s="165"/>
      <c r="I27" s="494"/>
      <c r="J27" s="494"/>
      <c r="K27" s="30"/>
      <c r="L27" s="64"/>
      <c r="M27" s="65"/>
    </row>
    <row r="28" spans="2:13" ht="20.149999999999999" customHeight="1" x14ac:dyDescent="0.45">
      <c r="B28" s="29"/>
      <c r="C28" s="17"/>
      <c r="G28" s="76"/>
      <c r="H28" s="165"/>
      <c r="I28" s="56"/>
      <c r="J28" s="56"/>
      <c r="K28" s="30"/>
      <c r="L28" s="64"/>
      <c r="M28" s="65"/>
    </row>
    <row r="29" spans="2:13" ht="20.149999999999999" customHeight="1" thickBot="1" x14ac:dyDescent="0.5">
      <c r="B29" s="32"/>
      <c r="C29" s="33"/>
      <c r="D29" s="488"/>
      <c r="E29" s="488"/>
      <c r="F29" s="488"/>
      <c r="G29" s="33"/>
      <c r="H29" s="57"/>
      <c r="I29" s="459"/>
      <c r="J29" s="459"/>
      <c r="K29" s="34"/>
      <c r="L29" s="35"/>
    </row>
    <row r="30" spans="2:13" ht="20.149999999999999" customHeight="1" thickBot="1" x14ac:dyDescent="0.5">
      <c r="B30" s="36"/>
      <c r="L30" s="37"/>
    </row>
    <row r="31" spans="2:1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89" t="s">
        <v>13</v>
      </c>
      <c r="K31" s="490"/>
      <c r="L31" s="38">
        <f>SUM(L14:L27)</f>
        <v>26</v>
      </c>
      <c r="M31" s="63">
        <f>SUM(P18:P27)</f>
        <v>0</v>
      </c>
    </row>
    <row r="32" spans="2:1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91" t="s">
        <v>19</v>
      </c>
      <c r="K33" s="492"/>
      <c r="L33" s="41">
        <f>L31-L32</f>
        <v>26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2.34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85" t="s">
        <v>21</v>
      </c>
      <c r="K35" s="486"/>
      <c r="L35" s="43">
        <f>L33+L34</f>
        <v>28.34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D26:F26"/>
    <mergeCell ref="I26:J26"/>
    <mergeCell ref="J33:K33"/>
    <mergeCell ref="J35:K35"/>
    <mergeCell ref="D27:F27"/>
    <mergeCell ref="I27:J27"/>
    <mergeCell ref="D29:F29"/>
    <mergeCell ref="I29:J29"/>
    <mergeCell ref="J31:K31"/>
    <mergeCell ref="D20:F20"/>
    <mergeCell ref="I20:J20"/>
    <mergeCell ref="D23:F23"/>
    <mergeCell ref="I23:J23"/>
    <mergeCell ref="D25:F25"/>
    <mergeCell ref="I25:J25"/>
    <mergeCell ref="D21:F21"/>
    <mergeCell ref="I21:J21"/>
    <mergeCell ref="D22:F22"/>
    <mergeCell ref="I22:J22"/>
    <mergeCell ref="D24:F24"/>
    <mergeCell ref="I24:J24"/>
    <mergeCell ref="I17:J17"/>
    <mergeCell ref="D19:F19"/>
    <mergeCell ref="I19:J19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3" orientation="portrait" horizontalDpi="4294967293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D5CA7-49D5-40AD-B608-B74A23A7A818}">
  <sheetPr codeName="Sheet205">
    <tabColor rgb="FFFFC000"/>
    <pageSetUpPr fitToPage="1"/>
  </sheetPr>
  <dimension ref="B1:P49"/>
  <sheetViews>
    <sheetView topLeftCell="A9" workbookViewId="0">
      <selection activeCell="C18" sqref="C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5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5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5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5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5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5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5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  <c r="N8" s="19" t="s">
        <v>1309</v>
      </c>
      <c r="O8" s="19" t="s">
        <v>1868</v>
      </c>
    </row>
    <row r="9" spans="2:15" ht="19" thickBot="1" x14ac:dyDescent="0.5">
      <c r="B9" s="18"/>
      <c r="N9" s="19" t="s">
        <v>730</v>
      </c>
      <c r="O9" s="19" t="s">
        <v>1348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1341</v>
      </c>
      <c r="J10" s="24" t="s">
        <v>27</v>
      </c>
      <c r="K10" s="464">
        <v>202210477</v>
      </c>
      <c r="L10" s="465"/>
      <c r="N10" s="19" t="s">
        <v>1713</v>
      </c>
      <c r="O10" s="19" t="s">
        <v>1869</v>
      </c>
    </row>
    <row r="11" spans="2:15" ht="20.149999999999999" customHeight="1" x14ac:dyDescent="0.45">
      <c r="B11" s="466" t="s">
        <v>1306</v>
      </c>
      <c r="C11" s="467"/>
      <c r="D11" s="468"/>
      <c r="E11" s="25"/>
      <c r="F11" s="469" t="str">
        <f>VLOOKUP(H10,'Delivery Location'!A$4:N$466,2,0)</f>
        <v>R&amp;B TEA SINGAPORE                                                     3155 COMMONWEALTH AVENUE WEST #04-K4 CLEMENTI MALL, SINGAPORE 129588</v>
      </c>
      <c r="G11" s="470"/>
      <c r="H11" s="471"/>
      <c r="J11" s="26" t="s">
        <v>9</v>
      </c>
      <c r="K11" s="478">
        <v>44861</v>
      </c>
      <c r="L11" s="479"/>
      <c r="N11" s="19" t="s">
        <v>786</v>
      </c>
      <c r="O11" s="19" t="s">
        <v>224</v>
      </c>
    </row>
    <row r="12" spans="2:15" ht="20.149999999999999" customHeight="1" x14ac:dyDescent="0.45">
      <c r="B12" s="480" t="s">
        <v>1307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19" t="s">
        <v>1740</v>
      </c>
      <c r="O12" s="19" t="s">
        <v>1534</v>
      </c>
    </row>
    <row r="13" spans="2:15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5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5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 t="s">
        <v>1309</v>
      </c>
      <c r="D18" s="487" t="str">
        <f>VLOOKUP(C18,'Sales Master'!B$3:D$537,2,)</f>
        <v>Passion Fruit Puree 百香果酱</v>
      </c>
      <c r="E18" s="487"/>
      <c r="F18" s="487"/>
      <c r="G18" s="76">
        <v>6</v>
      </c>
      <c r="H18" s="186" t="str">
        <f>VLOOKUP(C18,'Sales Master'!$B$3:$F$2488,5,0)</f>
        <v>1 KG/ Box盒</v>
      </c>
      <c r="I18" s="484" t="str">
        <f>VLOOKUP(C18,'Sales Master'!$B$3:$E$2488,4,0)</f>
        <v>-</v>
      </c>
      <c r="J18" s="484"/>
      <c r="K18" s="30">
        <f>VLOOKUP(C18,'Sales Master'!B$3:AD$537,29,0)</f>
        <v>8.5</v>
      </c>
      <c r="L18" s="64">
        <f>K18*G18</f>
        <v>51</v>
      </c>
      <c r="M18" s="65"/>
      <c r="N18" s="145">
        <f>VLOOKUP(C18,'Sales Master'!$B$3:$DA$2279,104,0)</f>
        <v>4.8</v>
      </c>
      <c r="O18" s="145">
        <f>K18-N18</f>
        <v>3.7</v>
      </c>
      <c r="P18" s="145">
        <f>O18*G18</f>
        <v>22.200000000000003</v>
      </c>
    </row>
    <row r="19" spans="2:16" ht="20.149999999999999" customHeight="1" x14ac:dyDescent="0.45">
      <c r="B19" s="29"/>
      <c r="C19" s="17"/>
      <c r="D19" s="487"/>
      <c r="E19" s="487"/>
      <c r="F19" s="487"/>
      <c r="G19" s="76"/>
      <c r="H19" s="186"/>
      <c r="I19" s="484"/>
      <c r="J19" s="484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87"/>
      <c r="E20" s="487"/>
      <c r="F20" s="487"/>
      <c r="G20" s="76"/>
      <c r="H20" s="56"/>
      <c r="I20" s="494"/>
      <c r="J20" s="494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87"/>
      <c r="E21" s="487"/>
      <c r="F21" s="487"/>
      <c r="G21" s="76"/>
      <c r="H21" s="56"/>
      <c r="I21" s="494"/>
      <c r="J21" s="494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87"/>
      <c r="E22" s="487"/>
      <c r="F22" s="487"/>
      <c r="G22" s="76"/>
      <c r="H22" s="56"/>
      <c r="I22" s="494"/>
      <c r="J22" s="494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87"/>
      <c r="E26" s="487"/>
      <c r="F26" s="487"/>
      <c r="G26" s="76"/>
      <c r="H26" s="56"/>
      <c r="I26" s="494"/>
      <c r="J26" s="494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87"/>
      <c r="E27" s="487"/>
      <c r="F27" s="487"/>
      <c r="G27" s="76"/>
      <c r="H27" s="56"/>
      <c r="I27" s="494"/>
      <c r="J27" s="494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D28" s="487"/>
      <c r="E28" s="487"/>
      <c r="F28" s="487"/>
      <c r="G28" s="76"/>
      <c r="H28" s="56"/>
      <c r="I28" s="494"/>
      <c r="J28" s="494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17"/>
      <c r="D29" s="487"/>
      <c r="E29" s="487"/>
      <c r="F29" s="487"/>
      <c r="G29" s="76"/>
      <c r="H29" s="56"/>
      <c r="I29" s="494"/>
      <c r="J29" s="494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17"/>
      <c r="D30" s="487"/>
      <c r="E30" s="487"/>
      <c r="F30" s="487"/>
      <c r="G30" s="76"/>
      <c r="H30" s="56"/>
      <c r="I30" s="494"/>
      <c r="J30" s="494"/>
      <c r="K30" s="30"/>
      <c r="L30" s="64"/>
      <c r="M30" s="65"/>
      <c r="N30" s="145"/>
      <c r="O30" s="145"/>
      <c r="P30" s="145"/>
    </row>
    <row r="31" spans="2:16" ht="20.149999999999999" customHeight="1" x14ac:dyDescent="0.45">
      <c r="B31" s="29"/>
      <c r="C31" s="17"/>
      <c r="D31" s="487"/>
      <c r="E31" s="487"/>
      <c r="F31" s="487"/>
      <c r="G31" s="76"/>
      <c r="H31" s="186"/>
      <c r="I31" s="519"/>
      <c r="J31" s="519"/>
      <c r="K31" s="30"/>
      <c r="L31" s="64"/>
      <c r="M31" s="65"/>
      <c r="N31" s="145"/>
      <c r="O31" s="145"/>
      <c r="P31" s="145"/>
    </row>
    <row r="32" spans="2:16" ht="20.149999999999999" customHeight="1" x14ac:dyDescent="0.45">
      <c r="B32" s="29"/>
      <c r="C32" s="17"/>
      <c r="D32" s="487"/>
      <c r="E32" s="487"/>
      <c r="F32" s="487"/>
      <c r="G32" s="76"/>
      <c r="H32" s="186"/>
      <c r="I32" s="519"/>
      <c r="J32" s="519"/>
      <c r="K32" s="30"/>
      <c r="L32" s="64"/>
      <c r="M32" s="65"/>
      <c r="N32" s="145"/>
      <c r="O32" s="145"/>
      <c r="P32" s="145"/>
    </row>
    <row r="33" spans="2:16" ht="20.149999999999999" customHeight="1" x14ac:dyDescent="0.45">
      <c r="B33" s="29"/>
      <c r="C33" s="17"/>
      <c r="D33" s="487"/>
      <c r="E33" s="487"/>
      <c r="F33" s="487"/>
      <c r="G33" s="76"/>
      <c r="H33" s="165"/>
      <c r="I33" s="494"/>
      <c r="J33" s="494"/>
      <c r="K33" s="30"/>
      <c r="L33" s="64"/>
      <c r="M33" s="65"/>
      <c r="N33" s="145"/>
      <c r="O33" s="145"/>
      <c r="P33" s="145"/>
    </row>
    <row r="34" spans="2:16" ht="20.149999999999999" customHeight="1" x14ac:dyDescent="0.45">
      <c r="B34" s="29"/>
      <c r="C34" s="17"/>
      <c r="G34" s="76"/>
      <c r="H34" s="165"/>
      <c r="I34" s="56"/>
      <c r="J34" s="56"/>
      <c r="K34" s="30"/>
      <c r="L34" s="64"/>
      <c r="M34" s="65"/>
      <c r="N34" s="145"/>
      <c r="O34" s="145"/>
      <c r="P34" s="145"/>
    </row>
    <row r="35" spans="2:16" ht="20.149999999999999" customHeight="1" thickBot="1" x14ac:dyDescent="0.5">
      <c r="B35" s="32"/>
      <c r="C35" s="33"/>
      <c r="D35" s="488"/>
      <c r="E35" s="488"/>
      <c r="F35" s="488"/>
      <c r="G35" s="33"/>
      <c r="H35" s="57"/>
      <c r="I35" s="459"/>
      <c r="J35" s="459"/>
      <c r="K35" s="34"/>
      <c r="L35" s="35"/>
    </row>
    <row r="36" spans="2:16" ht="20.149999999999999" customHeight="1" thickBot="1" x14ac:dyDescent="0.5">
      <c r="B36" s="36"/>
      <c r="L36" s="37"/>
    </row>
    <row r="37" spans="2:16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89" t="s">
        <v>13</v>
      </c>
      <c r="K37" s="490"/>
      <c r="L37" s="38">
        <f>SUM(L14:L33)</f>
        <v>51</v>
      </c>
      <c r="M37" s="63">
        <f>SUM(P18:P33)</f>
        <v>22.200000000000003</v>
      </c>
      <c r="N37" s="133">
        <f>M37/L37</f>
        <v>0.43529411764705889</v>
      </c>
    </row>
    <row r="38" spans="2:16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6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91" t="s">
        <v>19</v>
      </c>
      <c r="K39" s="492"/>
      <c r="L39" s="41">
        <f>L37-L38</f>
        <v>51</v>
      </c>
    </row>
    <row r="40" spans="2:16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4.59</v>
      </c>
    </row>
    <row r="41" spans="2:16" ht="20.149999999999999" customHeight="1" thickBot="1" x14ac:dyDescent="0.5">
      <c r="B41" s="10" t="s">
        <v>23</v>
      </c>
      <c r="C41" s="6"/>
      <c r="D41" s="6"/>
      <c r="E41" s="6"/>
      <c r="F41" s="6"/>
      <c r="G41" s="6"/>
      <c r="H41" s="6"/>
      <c r="I41" s="6"/>
      <c r="J41" s="485" t="s">
        <v>21</v>
      </c>
      <c r="K41" s="486"/>
      <c r="L41" s="43">
        <f>L39+L40</f>
        <v>55.59</v>
      </c>
    </row>
    <row r="42" spans="2:16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6" ht="20.149999999999999" customHeight="1" x14ac:dyDescent="0.45">
      <c r="B43" s="36"/>
      <c r="L43" s="37"/>
    </row>
    <row r="44" spans="2:16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36"/>
      <c r="L46" s="37"/>
    </row>
    <row r="47" spans="2:16" x14ac:dyDescent="0.45">
      <c r="B47" s="44"/>
      <c r="C47" s="45"/>
      <c r="D47" s="45"/>
      <c r="J47" s="45"/>
      <c r="K47" s="45"/>
      <c r="L47" s="46"/>
    </row>
    <row r="48" spans="2:16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</sheetData>
  <mergeCells count="52">
    <mergeCell ref="J39:K39"/>
    <mergeCell ref="J41:K41"/>
    <mergeCell ref="D33:F33"/>
    <mergeCell ref="I33:J33"/>
    <mergeCell ref="D35:F35"/>
    <mergeCell ref="I35:J35"/>
    <mergeCell ref="J37:K37"/>
    <mergeCell ref="D30:F30"/>
    <mergeCell ref="I30:J30"/>
    <mergeCell ref="D31:F31"/>
    <mergeCell ref="I31:J31"/>
    <mergeCell ref="D32:F32"/>
    <mergeCell ref="I32:J32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8C1CF-ABBC-4C0D-B5D7-8A54BF8306A0}">
  <sheetPr codeName="Sheet204">
    <tabColor rgb="FFFFC000"/>
    <pageSetUpPr fitToPage="1"/>
  </sheetPr>
  <dimension ref="B1:S41"/>
  <sheetViews>
    <sheetView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5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5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5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5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5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5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  <c r="N7" s="19" t="s">
        <v>1309</v>
      </c>
      <c r="O7" s="19" t="s">
        <v>1868</v>
      </c>
    </row>
    <row r="8" spans="2:15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  <c r="N8" s="19" t="s">
        <v>730</v>
      </c>
      <c r="O8" s="19" t="s">
        <v>1348</v>
      </c>
    </row>
    <row r="9" spans="2:15" ht="19" thickBot="1" x14ac:dyDescent="0.5">
      <c r="B9" s="18"/>
      <c r="N9" s="19" t="s">
        <v>1713</v>
      </c>
      <c r="O9" s="19" t="s">
        <v>1869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1343</v>
      </c>
      <c r="J10" s="24" t="s">
        <v>27</v>
      </c>
      <c r="K10" s="464">
        <v>202504201</v>
      </c>
      <c r="L10" s="465"/>
      <c r="N10" s="19" t="s">
        <v>786</v>
      </c>
      <c r="O10" s="19" t="s">
        <v>224</v>
      </c>
    </row>
    <row r="11" spans="2:15" ht="20.149999999999999" customHeight="1" x14ac:dyDescent="0.45">
      <c r="B11" s="466" t="s">
        <v>1306</v>
      </c>
      <c r="C11" s="467"/>
      <c r="D11" s="468"/>
      <c r="E11" s="25"/>
      <c r="F11" s="469" t="str">
        <f>VLOOKUP(H10,'Delivery Location'!A$4:N$466,2,0)</f>
        <v>R&amp;B TEA SINGAPORE                                 681 PUNGGOL DRIVE                                #B1-03 OASIS TERRACES,            SINGAPORE 820681</v>
      </c>
      <c r="G11" s="470"/>
      <c r="H11" s="471"/>
      <c r="J11" s="26" t="s">
        <v>9</v>
      </c>
      <c r="K11" s="478">
        <v>45755</v>
      </c>
      <c r="L11" s="479"/>
      <c r="N11" s="19" t="s">
        <v>1740</v>
      </c>
      <c r="O11" s="19" t="s">
        <v>1534</v>
      </c>
    </row>
    <row r="12" spans="2:15" ht="20.149999999999999" customHeight="1" x14ac:dyDescent="0.45">
      <c r="B12" s="480" t="s">
        <v>1307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5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O13" s="93"/>
    </row>
    <row r="14" spans="2:15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5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5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9" ht="20.149999999999999" customHeight="1" x14ac:dyDescent="0.45">
      <c r="B18" s="29"/>
      <c r="C18" s="212" t="s">
        <v>1309</v>
      </c>
      <c r="D18" s="487" t="str">
        <f>VLOOKUP(C18,'Sales Master'!B$3:D$537,2,)</f>
        <v>Passion Fruit Puree 百香果酱</v>
      </c>
      <c r="E18" s="487"/>
      <c r="F18" s="487"/>
      <c r="G18" s="76">
        <v>1</v>
      </c>
      <c r="H18" s="186" t="str">
        <f>VLOOKUP(C18,'Sales Master'!$B$3:$F$2488,5,0)</f>
        <v>1 KG/ Box盒</v>
      </c>
      <c r="I18" s="484" t="str">
        <f>VLOOKUP(C18,'Sales Master'!$B$3:$E$2488,4,0)</f>
        <v>-</v>
      </c>
      <c r="J18" s="484"/>
      <c r="K18" s="30">
        <f>VLOOKUP(C18,'Sales Master'!B$3:AD$537,29,0)</f>
        <v>8.5</v>
      </c>
      <c r="L18" s="64">
        <f>K18*G18</f>
        <v>8.5</v>
      </c>
      <c r="M18" s="65"/>
      <c r="N18" s="145">
        <f>VLOOKUP(C18,'Sales Master'!$B$3:$DA$2279,104,0)</f>
        <v>4.8</v>
      </c>
      <c r="O18" s="145">
        <f>K18-N18</f>
        <v>3.7</v>
      </c>
      <c r="P18" s="145">
        <f>O18*G18</f>
        <v>3.7</v>
      </c>
      <c r="R18" s="63"/>
      <c r="S18" s="63">
        <f>N18*G18*0.08</f>
        <v>0.38400000000000001</v>
      </c>
    </row>
    <row r="19" spans="2:19" ht="20.149999999999999" customHeight="1" x14ac:dyDescent="0.45">
      <c r="B19" s="29"/>
      <c r="C19" s="212" t="s">
        <v>730</v>
      </c>
      <c r="D19" s="487" t="str">
        <f>VLOOKUP(C19,'Sales Master'!B$3:D$537,2,)</f>
        <v>Grass Jelly 仙草冻</v>
      </c>
      <c r="E19" s="487"/>
      <c r="F19" s="487"/>
      <c r="G19" s="76">
        <v>4</v>
      </c>
      <c r="H19" s="186" t="str">
        <f>VLOOKUP(C19,'Sales Master'!$B$3:$F$2488,5,0)</f>
        <v>1 KG/ Box盒</v>
      </c>
      <c r="I19" s="484" t="str">
        <f>VLOOKUP(C19,'Sales Master'!$B$3:$E$2488,4,0)</f>
        <v>DO!</v>
      </c>
      <c r="J19" s="484"/>
      <c r="K19" s="30">
        <f>VLOOKUP(C19,'Sales Master'!B$3:AD$537,29,0)</f>
        <v>3.5</v>
      </c>
      <c r="L19" s="64">
        <f>K19*G19</f>
        <v>14</v>
      </c>
      <c r="M19" s="65"/>
      <c r="N19" s="145">
        <f>VLOOKUP(C19,'Sales Master'!$B$3:$DA$2279,104,0)</f>
        <v>1.0900000000000001</v>
      </c>
      <c r="O19" s="145">
        <f>K19-N19</f>
        <v>2.41</v>
      </c>
      <c r="P19" s="145">
        <f>O19*G19</f>
        <v>9.64</v>
      </c>
      <c r="R19" s="63"/>
      <c r="S19" s="63">
        <f>N19*G19*0.08</f>
        <v>0.34880000000000005</v>
      </c>
    </row>
    <row r="20" spans="2:19" ht="20.149999999999999" customHeight="1" x14ac:dyDescent="0.45">
      <c r="B20" s="29"/>
      <c r="C20" s="212" t="s">
        <v>786</v>
      </c>
      <c r="D20" s="487" t="str">
        <f>VLOOKUP(C20,'Sales Master'!B$3:D$537,2,)</f>
        <v>Tapioca Flour 茨粉</v>
      </c>
      <c r="E20" s="487"/>
      <c r="F20" s="487"/>
      <c r="G20" s="76">
        <v>3</v>
      </c>
      <c r="H20" s="186" t="str">
        <f>VLOOKUP(C20,'Sales Master'!$B$3:$F$2488,5,0)</f>
        <v xml:space="preserve">500 GM/pkt </v>
      </c>
      <c r="I20" s="484" t="str">
        <f>VLOOKUP(C20,'Sales Master'!$B$3:$E$2488,4,0)</f>
        <v>F/man 飞人</v>
      </c>
      <c r="J20" s="484"/>
      <c r="K20" s="30">
        <f>VLOOKUP(C20,'Sales Master'!B$3:AD$537,29,0)</f>
        <v>0.8</v>
      </c>
      <c r="L20" s="64">
        <f>K20*G20</f>
        <v>2.4000000000000004</v>
      </c>
      <c r="M20" s="65"/>
      <c r="N20" s="145">
        <f>VLOOKUP(C20,'Sales Master'!$B$3:$DA$2279,104,0)</f>
        <v>0.62</v>
      </c>
      <c r="O20" s="145">
        <f>K20-N20</f>
        <v>0.18000000000000005</v>
      </c>
      <c r="P20" s="145">
        <f>O20*G20</f>
        <v>0.54000000000000015</v>
      </c>
    </row>
    <row r="21" spans="2:19" ht="20.149999999999999" customHeight="1" x14ac:dyDescent="0.45">
      <c r="B21" s="29"/>
      <c r="C21" s="212"/>
      <c r="D21" s="487"/>
      <c r="E21" s="487"/>
      <c r="F21" s="487"/>
      <c r="G21" s="76"/>
      <c r="H21" s="186"/>
      <c r="I21" s="484"/>
      <c r="J21" s="484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212"/>
      <c r="D22" s="487"/>
      <c r="E22" s="487"/>
      <c r="F22" s="487"/>
      <c r="G22" s="76"/>
      <c r="H22" s="186"/>
      <c r="I22" s="484"/>
      <c r="J22" s="484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212"/>
      <c r="G23" s="76"/>
      <c r="H23" s="186"/>
      <c r="I23" s="208"/>
      <c r="J23" s="208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212"/>
      <c r="D24" s="487"/>
      <c r="E24" s="487"/>
      <c r="F24" s="487"/>
      <c r="G24" s="76"/>
      <c r="H24" s="186"/>
      <c r="I24" s="484"/>
      <c r="J24" s="484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87"/>
      <c r="E25" s="487"/>
      <c r="F25" s="487"/>
      <c r="G25" s="76"/>
      <c r="H25" s="165"/>
      <c r="I25" s="494"/>
      <c r="J25" s="494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G26" s="76"/>
      <c r="H26" s="165"/>
      <c r="I26" s="56"/>
      <c r="J26" s="56"/>
      <c r="K26" s="30"/>
      <c r="L26" s="64"/>
      <c r="M26" s="65"/>
      <c r="N26" s="145"/>
      <c r="O26" s="145"/>
      <c r="P26" s="145"/>
    </row>
    <row r="27" spans="2:19" ht="20.149999999999999" customHeight="1" thickBot="1" x14ac:dyDescent="0.5">
      <c r="B27" s="32"/>
      <c r="C27" s="33"/>
      <c r="D27" s="488"/>
      <c r="E27" s="488"/>
      <c r="F27" s="488"/>
      <c r="G27" s="33"/>
      <c r="H27" s="57"/>
      <c r="I27" s="459"/>
      <c r="J27" s="459"/>
      <c r="K27" s="34"/>
      <c r="L27" s="35"/>
    </row>
    <row r="28" spans="2:19" ht="20.149999999999999" customHeight="1" thickBot="1" x14ac:dyDescent="0.5">
      <c r="B28" s="36"/>
      <c r="L28" s="37"/>
    </row>
    <row r="29" spans="2:19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89" t="s">
        <v>13</v>
      </c>
      <c r="K29" s="490"/>
      <c r="L29" s="38">
        <f>SUM(L14:L27)</f>
        <v>24.9</v>
      </c>
      <c r="M29" s="63">
        <f>SUM(P18:P27)</f>
        <v>13.88</v>
      </c>
      <c r="N29" s="133">
        <f>M29/L29</f>
        <v>0.55742971887550208</v>
      </c>
    </row>
    <row r="30" spans="2:19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9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91" t="s">
        <v>19</v>
      </c>
      <c r="K31" s="492"/>
      <c r="L31" s="41">
        <f>L29-L30</f>
        <v>24.9</v>
      </c>
    </row>
    <row r="32" spans="2:19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2.2409999999999997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85" t="s">
        <v>21</v>
      </c>
      <c r="K33" s="486"/>
      <c r="L33" s="43">
        <f>L31+L32</f>
        <v>27.140999999999998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4">
    <mergeCell ref="D27:F27"/>
    <mergeCell ref="I27:J27"/>
    <mergeCell ref="D25:F25"/>
    <mergeCell ref="J29:K29"/>
    <mergeCell ref="D24:F24"/>
    <mergeCell ref="I17:J17"/>
    <mergeCell ref="J31:K31"/>
    <mergeCell ref="I18:J18"/>
    <mergeCell ref="I19:J19"/>
    <mergeCell ref="J33:K33"/>
    <mergeCell ref="I24:J24"/>
    <mergeCell ref="I25:J25"/>
    <mergeCell ref="I20:J20"/>
    <mergeCell ref="D20:F20"/>
    <mergeCell ref="I21:J21"/>
    <mergeCell ref="D21:F21"/>
    <mergeCell ref="D18:F18"/>
    <mergeCell ref="D19:F19"/>
    <mergeCell ref="D22:F22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</mergeCells>
  <pageMargins left="0.70866141732283472" right="0.31496062992125984" top="0.59055118110236227" bottom="0" header="0.31496062992125984" footer="0.31496062992125984"/>
  <pageSetup paperSize="9" scale="73" orientation="portrait" horizontalDpi="4294967293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260CA-58D2-4044-82C3-30A9B5859328}">
  <sheetPr codeName="Sheet102">
    <tabColor rgb="FFFFC000"/>
    <pageSetUpPr fitToPage="1"/>
  </sheetPr>
  <dimension ref="B1:P45"/>
  <sheetViews>
    <sheetView topLeftCell="B12" zoomScaleNormal="100" workbookViewId="0">
      <selection activeCell="I20" sqref="I20:J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7265625" style="19" customWidth="1"/>
    <col min="7" max="7" width="8.54296875" style="19" customWidth="1"/>
    <col min="8" max="8" width="19.26953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108</v>
      </c>
      <c r="J10" s="24" t="s">
        <v>27</v>
      </c>
      <c r="K10" s="464">
        <v>202401053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Fork &amp; Spoon - Dessert                                10, Sinaran Drive #04-14 to 19,56 to 73. Novena Square 2 Singapore 307506                                            </v>
      </c>
      <c r="G11" s="470"/>
      <c r="H11" s="471"/>
      <c r="J11" s="26" t="s">
        <v>9</v>
      </c>
      <c r="K11" s="478">
        <v>45294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805</v>
      </c>
      <c r="D18" s="487" t="str">
        <f>VLOOKUP(C18,'Sales Master'!B$3:D$537,2,)</f>
        <v>Atap Seeds in Syrup 亚嗒子</v>
      </c>
      <c r="E18" s="487"/>
      <c r="F18" s="487"/>
      <c r="G18" s="76">
        <v>1</v>
      </c>
      <c r="H18" s="186" t="str">
        <f>VLOOKUP(C18,'Sales Master'!$B$3:$F$2420,5,0)</f>
        <v>NW(1.6:0.6) 2.2kg/ Bag包</v>
      </c>
      <c r="I18" s="484" t="str">
        <f>VLOOKUP(C18,'Sales Master'!$B$3:$E$2420,4,0)</f>
        <v>DO!</v>
      </c>
      <c r="J18" s="484"/>
      <c r="K18" s="30">
        <f>VLOOKUP(C18,'Sales Master'!B$3:AP$537,41,0)</f>
        <v>9.5</v>
      </c>
      <c r="L18" s="64">
        <f>K18*G18</f>
        <v>9.5</v>
      </c>
      <c r="M18" s="65"/>
      <c r="N18" s="145">
        <f>VLOOKUP(C18,'Sales Master'!$B$3:$DA$2279,104,0)</f>
        <v>7.3</v>
      </c>
      <c r="O18" s="145">
        <f>K18-N18</f>
        <v>2.2000000000000002</v>
      </c>
      <c r="P18" s="145">
        <f>O18*G18</f>
        <v>2.2000000000000002</v>
      </c>
    </row>
    <row r="19" spans="2:16" ht="20.149999999999999" customHeight="1" x14ac:dyDescent="0.45">
      <c r="B19" s="29"/>
      <c r="C19" s="212" t="s">
        <v>817</v>
      </c>
      <c r="D19" s="487" t="str">
        <f>VLOOKUP(C19,'Sales Master'!B$3:D$537,2,)</f>
        <v>Small Red Bean 小红豆</v>
      </c>
      <c r="E19" s="487"/>
      <c r="F19" s="487"/>
      <c r="G19" s="76">
        <v>2</v>
      </c>
      <c r="H19" s="186" t="str">
        <f>VLOOKUP(C19,'Sales Master'!$B$3:$F$2420,5,0)</f>
        <v>5 KG</v>
      </c>
      <c r="I19" s="484" t="str">
        <f>VLOOKUP(C19,'Sales Master'!$B$3:$E$2420,4,0)</f>
        <v>-</v>
      </c>
      <c r="J19" s="484"/>
      <c r="K19" s="30">
        <f>VLOOKUP(C19,'Sales Master'!B$3:AP$537,41,0)</f>
        <v>17.5</v>
      </c>
      <c r="L19" s="64">
        <f>K19*G19</f>
        <v>35</v>
      </c>
      <c r="M19" s="65"/>
      <c r="N19" s="145">
        <f>VLOOKUP(C19,'Sales Master'!$B$3:$DA$2279,104,0)</f>
        <v>12.75</v>
      </c>
      <c r="O19" s="145">
        <f>K19-N19</f>
        <v>4.75</v>
      </c>
      <c r="P19" s="145">
        <f>O19*G19</f>
        <v>9.5</v>
      </c>
    </row>
    <row r="20" spans="2:16" ht="20.149999999999999" customHeight="1" x14ac:dyDescent="0.45">
      <c r="B20" s="29"/>
      <c r="C20" s="212" t="s">
        <v>966</v>
      </c>
      <c r="D20" s="487" t="str">
        <f>VLOOKUP(C20,'Sales Master'!B$3:D$537,2,)</f>
        <v>Coconut Milk 椰浆</v>
      </c>
      <c r="E20" s="487"/>
      <c r="F20" s="487"/>
      <c r="G20" s="76">
        <v>1</v>
      </c>
      <c r="H20" s="186" t="str">
        <f>VLOOKUP(C20,'Sales Master'!$B$3:$F$2420,5,0)</f>
        <v>(1L x 12bag)/箱</v>
      </c>
      <c r="I20" s="484" t="str">
        <f>VLOOKUP(C20,'Sales Master'!$B$3:$E$2420,4,0)</f>
        <v>Kara UHT</v>
      </c>
      <c r="J20" s="484"/>
      <c r="K20" s="30">
        <f>VLOOKUP(C20,'Sales Master'!B$3:AP$537,41,0)</f>
        <v>54</v>
      </c>
      <c r="L20" s="64">
        <f>K20*G20</f>
        <v>54</v>
      </c>
      <c r="M20" s="65"/>
      <c r="N20" s="145">
        <f>VLOOKUP(C20,'Sales Master'!$B$3:$DA$2279,104,0)</f>
        <v>35.799999999999997</v>
      </c>
      <c r="O20" s="145">
        <f>K20-N20</f>
        <v>18.200000000000003</v>
      </c>
      <c r="P20" s="145">
        <f>O20*G20</f>
        <v>18.200000000000003</v>
      </c>
    </row>
    <row r="21" spans="2:16" ht="20.149999999999999" customHeight="1" x14ac:dyDescent="0.45">
      <c r="B21" s="29"/>
      <c r="C21" s="212"/>
      <c r="D21" s="487"/>
      <c r="E21" s="487"/>
      <c r="F21" s="487"/>
      <c r="G21" s="76"/>
      <c r="H21" s="186"/>
      <c r="I21" s="484"/>
      <c r="J21" s="484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87"/>
      <c r="E22" s="487"/>
      <c r="F22" s="487"/>
      <c r="G22" s="76"/>
      <c r="H22" s="186"/>
      <c r="I22" s="484"/>
      <c r="J22" s="484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D23" s="487"/>
      <c r="E23" s="487"/>
      <c r="F23" s="487"/>
      <c r="G23" s="76"/>
      <c r="H23" s="186"/>
      <c r="I23" s="484"/>
      <c r="J23" s="484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D24" s="487"/>
      <c r="E24" s="487"/>
      <c r="F24" s="487"/>
      <c r="G24" s="17"/>
      <c r="H24" s="186"/>
      <c r="I24" s="484"/>
      <c r="J24" s="484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2"/>
      <c r="D25" s="487"/>
      <c r="E25" s="487"/>
      <c r="F25" s="487"/>
      <c r="G25" s="17"/>
      <c r="H25" s="186"/>
      <c r="I25" s="484"/>
      <c r="J25" s="484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2"/>
      <c r="D26" s="487"/>
      <c r="E26" s="487"/>
      <c r="F26" s="487"/>
      <c r="G26" s="17"/>
      <c r="H26" s="186"/>
      <c r="I26" s="484"/>
      <c r="J26" s="484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2"/>
      <c r="D27" s="487"/>
      <c r="E27" s="487"/>
      <c r="F27" s="487"/>
      <c r="G27" s="17"/>
      <c r="H27" s="186"/>
      <c r="I27" s="484"/>
      <c r="J27" s="484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212"/>
      <c r="D28" s="487"/>
      <c r="E28" s="487"/>
      <c r="F28" s="487"/>
      <c r="G28" s="17"/>
      <c r="H28" s="186"/>
      <c r="I28" s="484"/>
      <c r="J28" s="484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212"/>
      <c r="D29" s="487"/>
      <c r="E29" s="487"/>
      <c r="F29" s="487"/>
      <c r="G29" s="17"/>
      <c r="H29" s="186"/>
      <c r="I29" s="484"/>
      <c r="J29" s="484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17"/>
      <c r="D30" s="487"/>
      <c r="E30" s="487"/>
      <c r="F30" s="487"/>
      <c r="G30" s="17"/>
      <c r="H30" s="186"/>
      <c r="I30" s="519"/>
      <c r="J30" s="519"/>
      <c r="K30" s="30"/>
      <c r="L30" s="64"/>
      <c r="M30" s="65"/>
      <c r="N30" s="145"/>
      <c r="O30" s="145"/>
      <c r="P30" s="145"/>
    </row>
    <row r="31" spans="2:16" ht="20.149999999999999" customHeight="1" thickBot="1" x14ac:dyDescent="0.5">
      <c r="B31" s="32"/>
      <c r="C31" s="33"/>
      <c r="D31" s="488"/>
      <c r="E31" s="488"/>
      <c r="F31" s="488"/>
      <c r="G31" s="33"/>
      <c r="H31" s="57"/>
      <c r="I31" s="459"/>
      <c r="J31" s="459"/>
      <c r="K31" s="34"/>
      <c r="L31" s="35"/>
    </row>
    <row r="32" spans="2:16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89" t="s">
        <v>13</v>
      </c>
      <c r="K33" s="490"/>
      <c r="L33" s="38">
        <f>SUM(L17:L31)</f>
        <v>98.5</v>
      </c>
      <c r="M33" s="63">
        <f>SUM(P18:P24)</f>
        <v>29.900000000000002</v>
      </c>
      <c r="N33" s="133">
        <f>M33/L33</f>
        <v>0.3035532994923858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91" t="s">
        <v>19</v>
      </c>
      <c r="K35" s="492"/>
      <c r="L35" s="41">
        <f>L33-L34</f>
        <v>98.5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8.8650000000000002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85" t="s">
        <v>21</v>
      </c>
      <c r="K37" s="486"/>
      <c r="L37" s="43">
        <f>L35+L36</f>
        <v>107.36499999999999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6">
    <mergeCell ref="I23:J23"/>
    <mergeCell ref="J37:K37"/>
    <mergeCell ref="J33:K33"/>
    <mergeCell ref="J35:K35"/>
    <mergeCell ref="D31:F31"/>
    <mergeCell ref="I31:J31"/>
    <mergeCell ref="D30:F30"/>
    <mergeCell ref="I30:J30"/>
    <mergeCell ref="I24:J24"/>
    <mergeCell ref="I25:J25"/>
    <mergeCell ref="I26:J26"/>
    <mergeCell ref="D25:F25"/>
    <mergeCell ref="D26:F26"/>
    <mergeCell ref="D24:F24"/>
    <mergeCell ref="D23:F23"/>
    <mergeCell ref="I27:J27"/>
    <mergeCell ref="I18:J18"/>
    <mergeCell ref="I19:J19"/>
    <mergeCell ref="I20:J20"/>
    <mergeCell ref="I21:J21"/>
    <mergeCell ref="I22:J22"/>
    <mergeCell ref="D18:F18"/>
    <mergeCell ref="D19:F19"/>
    <mergeCell ref="D20:F20"/>
    <mergeCell ref="D21:F21"/>
    <mergeCell ref="D22:F22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I17:J17"/>
    <mergeCell ref="I28:J28"/>
    <mergeCell ref="I29:J29"/>
    <mergeCell ref="D27:F27"/>
    <mergeCell ref="D28:F28"/>
    <mergeCell ref="D29:F29"/>
  </mergeCells>
  <pageMargins left="0.70866141732283472" right="0.23622047244094491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CE2BF-080A-44C8-9AA6-B7EF8C2BE001}">
  <sheetPr codeName="Sheet201">
    <tabColor rgb="FFFFC000"/>
    <pageSetUpPr fitToPage="1"/>
  </sheetPr>
  <dimension ref="B1:P38"/>
  <sheetViews>
    <sheetView topLeftCell="A4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1344</v>
      </c>
      <c r="J10" s="24" t="s">
        <v>27</v>
      </c>
      <c r="K10" s="464">
        <v>202210230</v>
      </c>
      <c r="L10" s="465"/>
    </row>
    <row r="11" spans="2:12" ht="20.149999999999999" customHeight="1" x14ac:dyDescent="0.45">
      <c r="B11" s="466" t="s">
        <v>1306</v>
      </c>
      <c r="C11" s="467"/>
      <c r="D11" s="468"/>
      <c r="E11" s="25"/>
      <c r="F11" s="469" t="str">
        <f>VLOOKUP(H10,'Delivery Location'!A$4:N$466,2,0)</f>
        <v>R&amp;B TEA SINGAPORE                                                  3 SIMEI STREET 6 #01-04                     EAST POINT MALL, SINGAPORE 528833</v>
      </c>
      <c r="G11" s="470"/>
      <c r="H11" s="471"/>
      <c r="J11" s="26" t="s">
        <v>9</v>
      </c>
      <c r="K11" s="478">
        <v>44847</v>
      </c>
      <c r="L11" s="479"/>
    </row>
    <row r="12" spans="2:12" ht="20.149999999999999" customHeight="1" x14ac:dyDescent="0.45">
      <c r="B12" s="480" t="s">
        <v>1307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 t="s">
        <v>786</v>
      </c>
      <c r="D18" s="487" t="str">
        <f>VLOOKUP(C18,'Sales Master'!B$3:D$537,2,)</f>
        <v>Tapioca Flour 茨粉</v>
      </c>
      <c r="E18" s="487"/>
      <c r="F18" s="487"/>
      <c r="G18" s="76">
        <v>5</v>
      </c>
      <c r="H18" s="186" t="str">
        <f>VLOOKUP(C18,'Sales Master'!$B$3:$F$2488,5,0)</f>
        <v xml:space="preserve">500 GM/pkt </v>
      </c>
      <c r="I18" s="484" t="str">
        <f>VLOOKUP(C18,'Sales Master'!$B$3:$E$2488,4,0)</f>
        <v>F/man 飞人</v>
      </c>
      <c r="J18" s="484"/>
      <c r="K18" s="30">
        <f>VLOOKUP(C18,'Sales Master'!B$3:AD$537,29,0)</f>
        <v>0.8</v>
      </c>
      <c r="L18" s="64">
        <f>K18*G18</f>
        <v>4</v>
      </c>
      <c r="M18" s="65"/>
      <c r="N18" s="145">
        <f>VLOOKUP(C18,'Sales Master'!$B$3:$DA$2279,104,0)</f>
        <v>0.62</v>
      </c>
      <c r="O18" s="145">
        <f>K18-N18</f>
        <v>0.18000000000000005</v>
      </c>
      <c r="P18" s="145">
        <f>O18*G18</f>
        <v>0.90000000000000024</v>
      </c>
    </row>
    <row r="19" spans="2:16" ht="20.149999999999999" customHeight="1" x14ac:dyDescent="0.45">
      <c r="B19" s="29"/>
      <c r="C19" s="17" t="s">
        <v>982</v>
      </c>
      <c r="D19" s="487" t="str">
        <f>VLOOKUP(C19,'Sales Master'!B$3:D$537,2,)</f>
        <v>Honey Longan syrup</v>
      </c>
      <c r="E19" s="487"/>
      <c r="F19" s="487"/>
      <c r="G19" s="76">
        <v>4</v>
      </c>
      <c r="H19" s="186" t="str">
        <f>VLOOKUP(C19,'Sales Master'!$B$3:$F$2488,5,0)</f>
        <v>3 KG</v>
      </c>
      <c r="I19" s="484" t="str">
        <f>VLOOKUP(C19,'Sales Master'!$B$3:$E$2488,4,0)</f>
        <v>-</v>
      </c>
      <c r="J19" s="484"/>
      <c r="K19" s="30">
        <f>VLOOKUP(C19,'Sales Master'!B$3:AD$537,29,0)</f>
        <v>14.8</v>
      </c>
      <c r="L19" s="64">
        <f>K19*G19</f>
        <v>59.2</v>
      </c>
      <c r="M19" s="65"/>
      <c r="N19" s="145">
        <f>VLOOKUP(C19,'Sales Master'!$B$3:$DA$2279,104,0)</f>
        <v>11.5</v>
      </c>
      <c r="O19" s="145">
        <f>K19-N19</f>
        <v>3.3000000000000007</v>
      </c>
      <c r="P19" s="145">
        <f>O19*G19</f>
        <v>13.200000000000003</v>
      </c>
    </row>
    <row r="20" spans="2:16" ht="20.149999999999999" customHeight="1" x14ac:dyDescent="0.45">
      <c r="B20" s="29"/>
      <c r="C20" s="17"/>
      <c r="D20" s="487"/>
      <c r="E20" s="487"/>
      <c r="F20" s="487"/>
      <c r="G20" s="76"/>
      <c r="H20" s="56"/>
      <c r="I20" s="494"/>
      <c r="J20" s="494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87"/>
      <c r="E21" s="487"/>
      <c r="F21" s="487"/>
      <c r="G21" s="76"/>
      <c r="H21" s="56"/>
      <c r="I21" s="494"/>
      <c r="J21" s="494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87"/>
      <c r="E22" s="487"/>
      <c r="F22" s="487"/>
      <c r="G22" s="76"/>
      <c r="H22" s="56"/>
      <c r="I22" s="494"/>
      <c r="J22" s="494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64"/>
      <c r="M23" s="65"/>
      <c r="N23" s="145"/>
      <c r="O23" s="145"/>
      <c r="P23" s="145"/>
    </row>
    <row r="24" spans="2:16" ht="20.149999999999999" customHeight="1" thickBot="1" x14ac:dyDescent="0.5">
      <c r="B24" s="32"/>
      <c r="C24" s="33"/>
      <c r="D24" s="488"/>
      <c r="E24" s="488"/>
      <c r="F24" s="488"/>
      <c r="G24" s="33"/>
      <c r="H24" s="57"/>
      <c r="I24" s="459"/>
      <c r="J24" s="459"/>
      <c r="K24" s="34"/>
      <c r="L24" s="35"/>
    </row>
    <row r="25" spans="2:16" ht="20.149999999999999" customHeight="1" thickBot="1" x14ac:dyDescent="0.5">
      <c r="B25" s="36"/>
      <c r="L25" s="37"/>
    </row>
    <row r="26" spans="2:16" ht="20.149999999999999" customHeight="1" x14ac:dyDescent="0.45">
      <c r="B26" s="10" t="s">
        <v>16</v>
      </c>
      <c r="C26" s="6"/>
      <c r="D26" s="6"/>
      <c r="E26" s="6"/>
      <c r="F26" s="6"/>
      <c r="G26" s="6"/>
      <c r="H26" s="6"/>
      <c r="I26" s="6"/>
      <c r="J26" s="489" t="s">
        <v>13</v>
      </c>
      <c r="K26" s="490"/>
      <c r="L26" s="38">
        <f>SUM(L14:L23)</f>
        <v>63.2</v>
      </c>
      <c r="M26" s="63">
        <f>SUM(P18:P23)</f>
        <v>14.100000000000003</v>
      </c>
      <c r="N26" s="133">
        <f>M26/L26</f>
        <v>0.22310126582278486</v>
      </c>
    </row>
    <row r="27" spans="2:16" ht="20.149999999999999" customHeight="1" x14ac:dyDescent="0.45">
      <c r="B27" s="10" t="s">
        <v>17</v>
      </c>
      <c r="C27" s="6"/>
      <c r="D27" s="6"/>
      <c r="E27" s="6"/>
      <c r="F27" s="6"/>
      <c r="G27" s="6"/>
      <c r="H27" s="6"/>
      <c r="I27" s="6"/>
      <c r="J27" s="39" t="s">
        <v>20</v>
      </c>
      <c r="K27" s="40"/>
      <c r="L27" s="41">
        <f>L26*K27</f>
        <v>0</v>
      </c>
    </row>
    <row r="28" spans="2:16" ht="20.149999999999999" customHeight="1" x14ac:dyDescent="0.45">
      <c r="B28" s="10" t="s">
        <v>18</v>
      </c>
      <c r="C28" s="6"/>
      <c r="D28" s="6"/>
      <c r="E28" s="6"/>
      <c r="F28" s="6"/>
      <c r="G28" s="6"/>
      <c r="H28" s="6"/>
      <c r="I28" s="6"/>
      <c r="J28" s="491" t="s">
        <v>19</v>
      </c>
      <c r="K28" s="492"/>
      <c r="L28" s="41">
        <f>L26-L27</f>
        <v>63.2</v>
      </c>
    </row>
    <row r="29" spans="2:16" ht="20.149999999999999" customHeight="1" x14ac:dyDescent="0.45">
      <c r="B29" s="10" t="s">
        <v>22</v>
      </c>
      <c r="C29" s="6"/>
      <c r="D29" s="6"/>
      <c r="E29" s="6"/>
      <c r="F29" s="6"/>
      <c r="G29" s="6"/>
      <c r="H29" s="6"/>
      <c r="I29" s="6"/>
      <c r="J29" s="102" t="s">
        <v>15</v>
      </c>
      <c r="K29" s="103">
        <f>'Sales Master'!$B$1</f>
        <v>0.09</v>
      </c>
      <c r="L29" s="42">
        <f>L28*K29</f>
        <v>5.6879999999999997</v>
      </c>
    </row>
    <row r="30" spans="2:16" ht="20.149999999999999" customHeight="1" thickBot="1" x14ac:dyDescent="0.5">
      <c r="B30" s="10" t="s">
        <v>23</v>
      </c>
      <c r="C30" s="6"/>
      <c r="D30" s="6"/>
      <c r="E30" s="6"/>
      <c r="F30" s="6"/>
      <c r="G30" s="6"/>
      <c r="H30" s="6"/>
      <c r="I30" s="6"/>
      <c r="J30" s="485" t="s">
        <v>21</v>
      </c>
      <c r="K30" s="486"/>
      <c r="L30" s="43">
        <f>L28+L29</f>
        <v>68.888000000000005</v>
      </c>
    </row>
    <row r="31" spans="2:16" ht="20.149999999999999" customHeight="1" x14ac:dyDescent="0.45">
      <c r="B31" s="10" t="s">
        <v>24</v>
      </c>
      <c r="C31" s="6"/>
      <c r="D31" s="6"/>
      <c r="E31" s="6"/>
      <c r="F31" s="6"/>
      <c r="G31" s="6"/>
      <c r="H31" s="6"/>
      <c r="I31" s="6"/>
      <c r="L31" s="37"/>
    </row>
    <row r="32" spans="2:16" ht="20.149999999999999" customHeight="1" x14ac:dyDescent="0.45">
      <c r="B32" s="36"/>
      <c r="L32" s="37"/>
    </row>
    <row r="33" spans="2:12" x14ac:dyDescent="0.45">
      <c r="B33" s="3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x14ac:dyDescent="0.45">
      <c r="B36" s="44"/>
      <c r="C36" s="45"/>
      <c r="D36" s="45"/>
      <c r="J36" s="45"/>
      <c r="K36" s="45"/>
      <c r="L36" s="46"/>
    </row>
    <row r="37" spans="2:12" ht="20.149999999999999" customHeight="1" x14ac:dyDescent="0.45">
      <c r="B37" s="36" t="s">
        <v>25</v>
      </c>
      <c r="J37" s="19" t="s">
        <v>26</v>
      </c>
      <c r="L37" s="37"/>
    </row>
    <row r="38" spans="2:12" ht="19" thickBot="1" x14ac:dyDescent="0.5"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</row>
  </sheetData>
  <mergeCells count="3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J26:K26"/>
    <mergeCell ref="J28:K28"/>
    <mergeCell ref="J30:K30"/>
    <mergeCell ref="D24:F24"/>
    <mergeCell ref="I24:J24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A8D8E-CC44-410A-9959-2EEB6222C831}">
  <sheetPr codeName="Sheet200">
    <tabColor rgb="FFFFC000"/>
    <pageSetUpPr fitToPage="1"/>
  </sheetPr>
  <dimension ref="B1:P41"/>
  <sheetViews>
    <sheetView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5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5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5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5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5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5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5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1346</v>
      </c>
      <c r="J10" s="24" t="s">
        <v>27</v>
      </c>
      <c r="K10" s="464">
        <v>202504224</v>
      </c>
      <c r="L10" s="465"/>
      <c r="N10" s="19" t="s">
        <v>1309</v>
      </c>
      <c r="O10" s="19" t="s">
        <v>1310</v>
      </c>
    </row>
    <row r="11" spans="2:15" ht="20.149999999999999" customHeight="1" x14ac:dyDescent="0.45">
      <c r="B11" s="466" t="s">
        <v>1306</v>
      </c>
      <c r="C11" s="467"/>
      <c r="D11" s="468"/>
      <c r="E11" s="25"/>
      <c r="F11" s="469" t="str">
        <f>VLOOKUP(H10,'Delivery Location'!A$4:N$466,2,0)</f>
        <v>R&amp;B TEA SINGAPORE                                 377 HOUGANG STREET 32                       #B1-18 HOUGANG RIVERCOURT, SINGAPORE 530377</v>
      </c>
      <c r="G11" s="470"/>
      <c r="H11" s="471"/>
      <c r="J11" s="26" t="s">
        <v>9</v>
      </c>
      <c r="K11" s="478">
        <v>45756</v>
      </c>
      <c r="L11" s="479"/>
      <c r="N11" s="19" t="s">
        <v>1748</v>
      </c>
      <c r="O11" s="19" t="s">
        <v>1563</v>
      </c>
    </row>
    <row r="12" spans="2:15" ht="20.149999999999999" customHeight="1" x14ac:dyDescent="0.45">
      <c r="B12" s="480" t="s">
        <v>1307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19" t="s">
        <v>1713</v>
      </c>
      <c r="O12" s="19" t="s">
        <v>1749</v>
      </c>
    </row>
    <row r="13" spans="2:15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5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5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1309</v>
      </c>
      <c r="D18" s="487" t="str">
        <f>VLOOKUP(C18,'Sales Master'!B$3:D$537,2,)</f>
        <v>Passion Fruit Puree 百香果酱</v>
      </c>
      <c r="E18" s="487"/>
      <c r="F18" s="487"/>
      <c r="G18" s="76">
        <v>1</v>
      </c>
      <c r="H18" s="186" t="str">
        <f>VLOOKUP(C18,'Sales Master'!$B$3:$F$2488,5,0)</f>
        <v>1 KG/ Box盒</v>
      </c>
      <c r="I18" s="484" t="str">
        <f>VLOOKUP(C18,'Sales Master'!$B$3:$E$2488,4,0)</f>
        <v>-</v>
      </c>
      <c r="J18" s="484"/>
      <c r="K18" s="30">
        <f>VLOOKUP(C18,'Sales Master'!B$3:AD$537,29,0)</f>
        <v>8.5</v>
      </c>
      <c r="L18" s="64">
        <f>K18*G18</f>
        <v>8.5</v>
      </c>
      <c r="M18" s="65"/>
      <c r="N18" s="145">
        <f>VLOOKUP(C18,'Sales Master'!$B$3:$DA$2279,104,0)</f>
        <v>4.8</v>
      </c>
      <c r="O18" s="145">
        <f>K18-N18</f>
        <v>3.7</v>
      </c>
      <c r="P18" s="145">
        <f>O18*G18</f>
        <v>3.7</v>
      </c>
    </row>
    <row r="19" spans="2:16" ht="20.149999999999999" customHeight="1" x14ac:dyDescent="0.45">
      <c r="B19" s="29"/>
      <c r="C19" s="212" t="s">
        <v>730</v>
      </c>
      <c r="D19" s="487" t="str">
        <f>VLOOKUP(C19,'Sales Master'!B$3:D$537,2,)</f>
        <v>Grass Jelly 仙草冻</v>
      </c>
      <c r="E19" s="487"/>
      <c r="F19" s="487"/>
      <c r="G19" s="76">
        <v>5</v>
      </c>
      <c r="H19" s="186" t="str">
        <f>VLOOKUP(C19,'Sales Master'!$B$3:$F$2488,5,0)</f>
        <v>1 KG/ Box盒</v>
      </c>
      <c r="I19" s="484" t="str">
        <f>VLOOKUP(C19,'Sales Master'!$B$3:$E$2488,4,0)</f>
        <v>DO!</v>
      </c>
      <c r="J19" s="484"/>
      <c r="K19" s="30">
        <f>VLOOKUP(C19,'Sales Master'!B$3:AD$537,29,0)</f>
        <v>3.5</v>
      </c>
      <c r="L19" s="64">
        <f>K19*G19</f>
        <v>17.5</v>
      </c>
      <c r="M19" s="65"/>
      <c r="N19" s="145">
        <f>VLOOKUP(C19,'Sales Master'!$B$3:$DA$2279,104,0)</f>
        <v>1.0900000000000001</v>
      </c>
      <c r="O19" s="145">
        <f>K19-N19</f>
        <v>2.41</v>
      </c>
      <c r="P19" s="145">
        <f>O19*G19</f>
        <v>12.05</v>
      </c>
    </row>
    <row r="20" spans="2:16" ht="20.149999999999999" customHeight="1" x14ac:dyDescent="0.45">
      <c r="B20" s="29"/>
      <c r="C20" s="212" t="s">
        <v>786</v>
      </c>
      <c r="D20" s="487" t="str">
        <f>VLOOKUP(C20,'Sales Master'!B$3:D$537,2,)</f>
        <v>Tapioca Flour 茨粉</v>
      </c>
      <c r="E20" s="487"/>
      <c r="F20" s="487"/>
      <c r="G20" s="76">
        <v>4</v>
      </c>
      <c r="H20" s="186" t="str">
        <f>VLOOKUP(C20,'Sales Master'!$B$3:$F$2488,5,0)</f>
        <v xml:space="preserve">500 GM/pkt </v>
      </c>
      <c r="I20" s="484" t="str">
        <f>VLOOKUP(C20,'Sales Master'!$B$3:$E$2488,4,0)</f>
        <v>F/man 飞人</v>
      </c>
      <c r="J20" s="484"/>
      <c r="K20" s="30">
        <f>VLOOKUP(C20,'Sales Master'!B$3:AD$537,29,0)</f>
        <v>0.8</v>
      </c>
      <c r="L20" s="64">
        <f>K20*G20</f>
        <v>3.2</v>
      </c>
      <c r="M20" s="65"/>
      <c r="N20" s="145"/>
      <c r="O20" s="145"/>
      <c r="P20" s="145"/>
    </row>
    <row r="21" spans="2:16" ht="20.149999999999999" customHeight="1" x14ac:dyDescent="0.45">
      <c r="B21" s="29"/>
      <c r="C21" s="212"/>
      <c r="D21" s="487"/>
      <c r="E21" s="487"/>
      <c r="F21" s="487"/>
      <c r="G21" s="76"/>
      <c r="H21" s="186"/>
      <c r="I21" s="484"/>
      <c r="J21" s="484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87"/>
      <c r="E22" s="487"/>
      <c r="F22" s="487"/>
      <c r="G22" s="76"/>
      <c r="H22" s="56"/>
      <c r="I22" s="494"/>
      <c r="J22" s="494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87"/>
      <c r="E25" s="487"/>
      <c r="F25" s="487"/>
      <c r="G25" s="76"/>
      <c r="H25" s="165"/>
      <c r="I25" s="494"/>
      <c r="J25" s="494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G26" s="76"/>
      <c r="H26" s="165"/>
      <c r="I26" s="56"/>
      <c r="J26" s="56"/>
      <c r="K26" s="30"/>
      <c r="L26" s="64"/>
      <c r="M26" s="65"/>
      <c r="N26" s="145"/>
      <c r="O26" s="145"/>
      <c r="P26" s="145"/>
    </row>
    <row r="27" spans="2:16" ht="20.149999999999999" customHeight="1" thickBot="1" x14ac:dyDescent="0.5">
      <c r="B27" s="32"/>
      <c r="C27" s="33"/>
      <c r="D27" s="488"/>
      <c r="E27" s="488"/>
      <c r="F27" s="488"/>
      <c r="G27" s="33"/>
      <c r="H27" s="57"/>
      <c r="I27" s="459"/>
      <c r="J27" s="459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89" t="s">
        <v>13</v>
      </c>
      <c r="K29" s="490"/>
      <c r="L29" s="38">
        <f>SUM(L14:L25)</f>
        <v>29.2</v>
      </c>
      <c r="M29" s="63">
        <f>SUM(P18:P25)</f>
        <v>15.75</v>
      </c>
      <c r="N29" s="133">
        <f>M29/L29</f>
        <v>0.53938356164383561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91" t="s">
        <v>19</v>
      </c>
      <c r="K31" s="492"/>
      <c r="L31" s="41">
        <f>L29-L30</f>
        <v>29.2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2.6279999999999997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85" t="s">
        <v>21</v>
      </c>
      <c r="K33" s="486"/>
      <c r="L33" s="43">
        <f>L31+L32</f>
        <v>31.827999999999999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18:F18"/>
    <mergeCell ref="I18:J18"/>
    <mergeCell ref="D17:F17"/>
    <mergeCell ref="D20:F20"/>
    <mergeCell ref="I20:J20"/>
    <mergeCell ref="I21:J21"/>
    <mergeCell ref="D22:F22"/>
    <mergeCell ref="I22:J22"/>
    <mergeCell ref="D21:F21"/>
    <mergeCell ref="D23:F23"/>
    <mergeCell ref="I23:J23"/>
    <mergeCell ref="J29:K29"/>
    <mergeCell ref="J31:K31"/>
    <mergeCell ref="J33:K33"/>
    <mergeCell ref="D24:F24"/>
    <mergeCell ref="I24:J24"/>
    <mergeCell ref="D25:F25"/>
    <mergeCell ref="I25:J25"/>
    <mergeCell ref="D27:F27"/>
    <mergeCell ref="I27:J27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C375F-EE81-42D9-AD01-D6B617050A18}">
  <sheetPr codeName="Sheet199">
    <tabColor rgb="FFFFC000"/>
    <pageSetUpPr fitToPage="1"/>
  </sheetPr>
  <dimension ref="B1:P42"/>
  <sheetViews>
    <sheetView topLeftCell="A7"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1347</v>
      </c>
      <c r="J10" s="24" t="s">
        <v>27</v>
      </c>
      <c r="K10" s="464">
        <v>202310579</v>
      </c>
      <c r="L10" s="465"/>
    </row>
    <row r="11" spans="2:14" ht="20.149999999999999" customHeight="1" x14ac:dyDescent="0.45">
      <c r="B11" s="466" t="s">
        <v>1306</v>
      </c>
      <c r="C11" s="467"/>
      <c r="D11" s="468"/>
      <c r="E11" s="25"/>
      <c r="F11" s="469" t="str">
        <f>VLOOKUP(H10,'Delivery Location'!A$4:N$466,2,0)</f>
        <v>R&amp;B TEA SINGAPORE                                  4 BUKIT BATOK STREET 41                       #01-47 LE QUEST,                        SINGAPORE 657991</v>
      </c>
      <c r="G11" s="470"/>
      <c r="H11" s="471"/>
      <c r="J11" s="26" t="s">
        <v>9</v>
      </c>
      <c r="K11" s="478">
        <v>45224</v>
      </c>
      <c r="L11" s="479"/>
    </row>
    <row r="12" spans="2:14" ht="20.149999999999999" customHeight="1" x14ac:dyDescent="0.45">
      <c r="B12" s="480" t="s">
        <v>1307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17" t="s">
        <v>1309</v>
      </c>
    </row>
    <row r="13" spans="2:14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7" t="s">
        <v>730</v>
      </c>
    </row>
    <row r="14" spans="2:14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1748</v>
      </c>
      <c r="D18" s="533" t="str">
        <f>VLOOKUP(C18,'Sales Master'!B$3:D$537,2,)</f>
        <v>Fresh Soursop Seedless 红毛榴莲(无)</v>
      </c>
      <c r="E18" s="533"/>
      <c r="F18" s="533"/>
      <c r="G18" s="76">
        <v>2</v>
      </c>
      <c r="H18" s="186" t="str">
        <f>VLOOKUP(C18,'Sales Master'!$B$3:$F$2488,5,0)</f>
        <v>GW:1 KG/ Box盒</v>
      </c>
      <c r="I18" s="484" t="str">
        <f>VLOOKUP(C18,'Sales Master'!$B$3:$E$2488,4,0)</f>
        <v>DO!</v>
      </c>
      <c r="J18" s="484"/>
      <c r="K18" s="30">
        <f>VLOOKUP(C18,'Sales Master'!B$3:AD$537,29,0)</f>
        <v>8</v>
      </c>
      <c r="L18" s="64">
        <f>K18*G18</f>
        <v>16</v>
      </c>
      <c r="M18" s="65"/>
      <c r="N18" s="145">
        <f>VLOOKUP(C18,'Sales Master'!$B$3:$DA$2279,104,0)</f>
        <v>5.08</v>
      </c>
      <c r="O18" s="145">
        <f>K18-N18</f>
        <v>2.92</v>
      </c>
      <c r="P18" s="145">
        <f>O18*G18</f>
        <v>5.84</v>
      </c>
    </row>
    <row r="19" spans="2:16" ht="20.149999999999999" customHeight="1" x14ac:dyDescent="0.45">
      <c r="B19" s="29"/>
      <c r="C19" s="212" t="s">
        <v>1309</v>
      </c>
      <c r="D19" s="487" t="str">
        <f>VLOOKUP(C19,'Sales Master'!B$3:D$537,2,)</f>
        <v>Passion Fruit Puree 百香果酱</v>
      </c>
      <c r="E19" s="487"/>
      <c r="F19" s="487"/>
      <c r="G19" s="76">
        <v>1</v>
      </c>
      <c r="H19" s="186" t="str">
        <f>VLOOKUP(C19,'Sales Master'!$B$3:$F$2488,5,0)</f>
        <v>1 KG/ Box盒</v>
      </c>
      <c r="I19" s="484" t="str">
        <f>VLOOKUP(C19,'Sales Master'!$B$3:$E$2488,4,0)</f>
        <v>-</v>
      </c>
      <c r="J19" s="484"/>
      <c r="K19" s="30">
        <f>VLOOKUP(C19,'Sales Master'!B$3:AD$537,29,0)</f>
        <v>8.5</v>
      </c>
      <c r="L19" s="64">
        <f>K19*G19</f>
        <v>8.5</v>
      </c>
      <c r="M19" s="65"/>
      <c r="N19" s="145">
        <f>VLOOKUP(C19,'Sales Master'!$B$3:$DA$2279,104,0)</f>
        <v>4.8</v>
      </c>
      <c r="O19" s="145">
        <f>K19-N19</f>
        <v>3.7</v>
      </c>
      <c r="P19" s="145">
        <f>O19*G19</f>
        <v>3.7</v>
      </c>
    </row>
    <row r="20" spans="2:16" ht="20.149999999999999" customHeight="1" x14ac:dyDescent="0.45">
      <c r="B20" s="29"/>
      <c r="C20" s="212" t="s">
        <v>730</v>
      </c>
      <c r="D20" s="487" t="str">
        <f>VLOOKUP(C20,'Sales Master'!B$3:D$537,2,)</f>
        <v>Grass Jelly 仙草冻</v>
      </c>
      <c r="E20" s="487"/>
      <c r="F20" s="487"/>
      <c r="G20" s="76">
        <v>2</v>
      </c>
      <c r="H20" s="186" t="str">
        <f>VLOOKUP(C20,'Sales Master'!$B$3:$F$2488,5,0)</f>
        <v>1 KG/ Box盒</v>
      </c>
      <c r="I20" s="484" t="str">
        <f>VLOOKUP(C20,'Sales Master'!$B$3:$E$2488,4,0)</f>
        <v>DO!</v>
      </c>
      <c r="J20" s="484"/>
      <c r="K20" s="30">
        <f>VLOOKUP(C20,'Sales Master'!B$3:AD$537,29,0)</f>
        <v>3.5</v>
      </c>
      <c r="L20" s="64">
        <f>K20*G20</f>
        <v>7</v>
      </c>
      <c r="M20" s="65"/>
      <c r="N20" s="145">
        <f>VLOOKUP(C20,'Sales Master'!$B$3:$DA$2279,104,0)</f>
        <v>1.0900000000000001</v>
      </c>
      <c r="O20" s="145">
        <f>K20-N20</f>
        <v>2.41</v>
      </c>
      <c r="P20" s="145">
        <f>O20*G20</f>
        <v>4.82</v>
      </c>
    </row>
    <row r="21" spans="2:16" ht="20.149999999999999" customHeight="1" x14ac:dyDescent="0.45">
      <c r="B21" s="29"/>
      <c r="C21" s="212" t="s">
        <v>1713</v>
      </c>
      <c r="D21" s="524" t="str">
        <f>VLOOKUP(C21,'Sales Master'!B$3:D$537,2,)</f>
        <v>Fresh Pineapple Puree 凤梨果酱</v>
      </c>
      <c r="E21" s="524"/>
      <c r="F21" s="524"/>
      <c r="G21" s="76">
        <v>1</v>
      </c>
      <c r="H21" s="186" t="str">
        <f>VLOOKUP(C21,'Sales Master'!$B$3:$F$2488,5,0)</f>
        <v>800 GM</v>
      </c>
      <c r="I21" s="484" t="str">
        <f>VLOOKUP(C21,'Sales Master'!$B$3:$E$2488,4,0)</f>
        <v>DO!</v>
      </c>
      <c r="J21" s="484"/>
      <c r="K21" s="30">
        <f>VLOOKUP(C21,'Sales Master'!B$3:AD$537,29,0)</f>
        <v>6</v>
      </c>
      <c r="L21" s="64">
        <f>K21*G21</f>
        <v>6</v>
      </c>
      <c r="M21" s="65"/>
      <c r="N21" s="145">
        <f>VLOOKUP(C21,'Sales Master'!$B$3:$DA$2279,104,0)</f>
        <v>3.32</v>
      </c>
      <c r="O21" s="145">
        <f>K21-N21</f>
        <v>2.68</v>
      </c>
      <c r="P21" s="145">
        <f>O21*G21</f>
        <v>2.68</v>
      </c>
    </row>
    <row r="22" spans="2:16" ht="20.149999999999999" customHeight="1" x14ac:dyDescent="0.45">
      <c r="B22" s="29"/>
      <c r="C22" s="212" t="s">
        <v>1740</v>
      </c>
      <c r="D22" s="487" t="str">
        <f>VLOOKUP(C22,'Sales Master'!B$3:D$537,2,)</f>
        <v>LaoYan 老盐柠檬茶用盐</v>
      </c>
      <c r="E22" s="487"/>
      <c r="F22" s="487"/>
      <c r="G22" s="76">
        <v>1</v>
      </c>
      <c r="H22" s="186" t="str">
        <f>VLOOKUP(C22,'Sales Master'!$B$3:$F$2488,5,0)</f>
        <v>500 GM</v>
      </c>
      <c r="I22" s="484" t="str">
        <f>VLOOKUP(C22,'Sales Master'!$B$3:$E$2488,4,0)</f>
        <v>银山</v>
      </c>
      <c r="J22" s="484"/>
      <c r="K22" s="30">
        <f>VLOOKUP(C22,'Sales Master'!B$3:AD$537,29,0)</f>
        <v>14</v>
      </c>
      <c r="L22" s="64">
        <f>K22*G22</f>
        <v>14</v>
      </c>
      <c r="M22" s="65"/>
      <c r="N22" s="145">
        <f>VLOOKUP(C22,'Sales Master'!$B$3:$DA$2279,104,0)</f>
        <v>10</v>
      </c>
      <c r="O22" s="145">
        <f>K22-N22</f>
        <v>4</v>
      </c>
      <c r="P22" s="145">
        <f>O22*G22</f>
        <v>4</v>
      </c>
    </row>
    <row r="23" spans="2:16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87"/>
      <c r="E26" s="487"/>
      <c r="F26" s="487"/>
      <c r="G26" s="76"/>
      <c r="H26" s="165"/>
      <c r="I26" s="494"/>
      <c r="J26" s="494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488"/>
      <c r="E28" s="488"/>
      <c r="F28" s="488"/>
      <c r="G28" s="33"/>
      <c r="H28" s="57"/>
      <c r="I28" s="459"/>
      <c r="J28" s="459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SUM(L14:L26)</f>
        <v>51.5</v>
      </c>
      <c r="M30" s="63">
        <f>SUM(P18:P26)</f>
        <v>21.04</v>
      </c>
      <c r="N30" s="133">
        <f>M30/L30</f>
        <v>0.40854368932038831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51.5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4.6349999999999998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56.134999999999998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8">
    <mergeCell ref="D24:F24"/>
    <mergeCell ref="I24:J24"/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  <mergeCell ref="I21:J21"/>
    <mergeCell ref="D22:F22"/>
    <mergeCell ref="I22:J22"/>
    <mergeCell ref="D23:F23"/>
    <mergeCell ref="I23:J23"/>
    <mergeCell ref="D21:F21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417A6-832F-47DF-8A0A-00C6F81B9436}">
  <sheetPr codeName="Sheet217">
    <tabColor rgb="FFFFC000"/>
    <pageSetUpPr fitToPage="1"/>
  </sheetPr>
  <dimension ref="B1:P42"/>
  <sheetViews>
    <sheetView topLeftCell="A29"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1350</v>
      </c>
      <c r="J10" s="24" t="s">
        <v>27</v>
      </c>
      <c r="K10" s="464">
        <v>202501201</v>
      </c>
      <c r="L10" s="465"/>
    </row>
    <row r="11" spans="2:14" ht="20.149999999999999" customHeight="1" x14ac:dyDescent="0.45">
      <c r="B11" s="466" t="s">
        <v>1306</v>
      </c>
      <c r="C11" s="467"/>
      <c r="D11" s="468"/>
      <c r="E11" s="25"/>
      <c r="F11" s="469" t="str">
        <f>VLOOKUP(H10,'Delivery Location'!A$4:N$466,2,0)</f>
        <v>R&amp;B TEA SINGAPORE                                 101 THOMSON ROAD                              #02-K1 UNITED SQUARE,              SINGAPORE 307591</v>
      </c>
      <c r="G11" s="470"/>
      <c r="H11" s="471"/>
      <c r="J11" s="26" t="s">
        <v>9</v>
      </c>
      <c r="K11" s="478">
        <v>45666</v>
      </c>
      <c r="L11" s="479"/>
      <c r="N11" s="19" t="s">
        <v>1309</v>
      </c>
    </row>
    <row r="12" spans="2:14" ht="20.149999999999999" customHeight="1" x14ac:dyDescent="0.45">
      <c r="B12" s="480" t="s">
        <v>1307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19" t="s">
        <v>730</v>
      </c>
    </row>
    <row r="13" spans="2:14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1267</v>
      </c>
    </row>
    <row r="14" spans="2:14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  <c r="N14" s="19" t="s">
        <v>1713</v>
      </c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  <c r="N15" s="19" t="s">
        <v>786</v>
      </c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6" ht="20.149999999999999" customHeight="1" x14ac:dyDescent="0.45">
      <c r="B18" s="29"/>
      <c r="C18" s="212" t="s">
        <v>1309</v>
      </c>
      <c r="D18" s="487" t="str">
        <f>VLOOKUP(C18,'Sales Master'!B$3:D$537,2,)</f>
        <v>Passion Fruit Puree 百香果酱</v>
      </c>
      <c r="E18" s="487"/>
      <c r="F18" s="487"/>
      <c r="G18" s="76">
        <v>1</v>
      </c>
      <c r="H18" s="186" t="str">
        <f>VLOOKUP(C18,'Sales Master'!$B$3:$F$2488,5,0)</f>
        <v>1 KG/ Box盒</v>
      </c>
      <c r="I18" s="484" t="str">
        <f>VLOOKUP(C18,'Sales Master'!$B$3:$E$2488,4,0)</f>
        <v>-</v>
      </c>
      <c r="J18" s="484"/>
      <c r="K18" s="30">
        <f>VLOOKUP(C18,'Sales Master'!B$3:AD$537,29,0)</f>
        <v>8.5</v>
      </c>
      <c r="L18" s="64">
        <f>K18*G18</f>
        <v>8.5</v>
      </c>
      <c r="M18" s="65"/>
    </row>
    <row r="19" spans="2:16" ht="20.149999999999999" customHeight="1" x14ac:dyDescent="0.45">
      <c r="B19" s="29"/>
      <c r="C19" s="212" t="s">
        <v>730</v>
      </c>
      <c r="D19" s="487" t="str">
        <f>VLOOKUP(C19,'Sales Master'!B$3:D$537,2,)</f>
        <v>Grass Jelly 仙草冻</v>
      </c>
      <c r="E19" s="487"/>
      <c r="F19" s="487"/>
      <c r="G19" s="76">
        <v>5</v>
      </c>
      <c r="H19" s="186" t="str">
        <f>VLOOKUP(C19,'Sales Master'!$B$3:$F$2488,5,0)</f>
        <v>1 KG/ Box盒</v>
      </c>
      <c r="I19" s="484" t="str">
        <f>VLOOKUP(C19,'Sales Master'!$B$3:$E$2488,4,0)</f>
        <v>DO!</v>
      </c>
      <c r="J19" s="484"/>
      <c r="K19" s="30">
        <f>VLOOKUP(C19,'Sales Master'!B$3:AD$537,29,0)</f>
        <v>3.5</v>
      </c>
      <c r="L19" s="64">
        <f>K19*G19</f>
        <v>17.5</v>
      </c>
      <c r="M19" s="65"/>
    </row>
    <row r="20" spans="2:16" ht="20.149999999999999" customHeight="1" x14ac:dyDescent="0.45">
      <c r="B20" s="29"/>
      <c r="C20" s="212" t="s">
        <v>786</v>
      </c>
      <c r="D20" s="487" t="str">
        <f>VLOOKUP(C20,'Sales Master'!B$3:D$537,2,)</f>
        <v>Tapioca Flour 茨粉</v>
      </c>
      <c r="E20" s="487"/>
      <c r="F20" s="487"/>
      <c r="G20" s="76">
        <v>3</v>
      </c>
      <c r="H20" s="186" t="str">
        <f>VLOOKUP(C20,'Sales Master'!$B$3:$F$2488,5,0)</f>
        <v xml:space="preserve">500 GM/pkt </v>
      </c>
      <c r="I20" s="484" t="str">
        <f>VLOOKUP(C20,'Sales Master'!$B$3:$E$2488,4,0)</f>
        <v>F/man 飞人</v>
      </c>
      <c r="J20" s="484"/>
      <c r="K20" s="30">
        <f>VLOOKUP(C20,'Sales Master'!B$3:AD$537,29,0)</f>
        <v>0.8</v>
      </c>
      <c r="L20" s="64">
        <f>K20*G20</f>
        <v>2.4000000000000004</v>
      </c>
      <c r="M20" s="65"/>
    </row>
    <row r="21" spans="2:16" ht="20.149999999999999" customHeight="1" x14ac:dyDescent="0.45">
      <c r="B21" s="29"/>
      <c r="C21" s="212"/>
      <c r="D21" s="487"/>
      <c r="E21" s="487"/>
      <c r="F21" s="487"/>
      <c r="G21" s="76"/>
      <c r="H21" s="186"/>
      <c r="I21" s="484"/>
      <c r="J21" s="484"/>
      <c r="K21" s="30"/>
      <c r="L21" s="64"/>
      <c r="M21" s="65"/>
    </row>
    <row r="22" spans="2:16" ht="20.149999999999999" customHeight="1" x14ac:dyDescent="0.45">
      <c r="B22" s="29"/>
      <c r="C22" s="212"/>
      <c r="D22" s="487"/>
      <c r="E22" s="487"/>
      <c r="F22" s="487"/>
      <c r="G22" s="76"/>
      <c r="H22" s="186"/>
      <c r="I22" s="484"/>
      <c r="J22" s="484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D23" s="487"/>
      <c r="E23" s="487"/>
      <c r="F23" s="487"/>
      <c r="G23" s="76"/>
      <c r="H23" s="186"/>
      <c r="I23" s="484"/>
      <c r="J23" s="484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G24" s="76"/>
      <c r="H24" s="56"/>
      <c r="I24" s="494"/>
      <c r="J24" s="494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87"/>
      <c r="E26" s="487"/>
      <c r="F26" s="487"/>
      <c r="G26" s="76"/>
      <c r="H26" s="165"/>
      <c r="I26" s="494"/>
      <c r="J26" s="494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488"/>
      <c r="E28" s="488"/>
      <c r="F28" s="488"/>
      <c r="G28" s="33"/>
      <c r="H28" s="57"/>
      <c r="I28" s="459"/>
      <c r="J28" s="459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SUM(L14:L26)</f>
        <v>28.4</v>
      </c>
      <c r="M30" s="63">
        <f>SUM(P18:P26)</f>
        <v>0</v>
      </c>
      <c r="N30" s="133">
        <f>M30/L30</f>
        <v>0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28.4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2.5559999999999996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30.956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7">
    <mergeCell ref="I24:J24"/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  <mergeCell ref="D21:F21"/>
    <mergeCell ref="I21:J21"/>
    <mergeCell ref="D23:F23"/>
    <mergeCell ref="I23:J23"/>
    <mergeCell ref="I17:J17"/>
    <mergeCell ref="D22:F22"/>
    <mergeCell ref="I22:J22"/>
    <mergeCell ref="D18:F18"/>
    <mergeCell ref="I18:J18"/>
    <mergeCell ref="D17:F17"/>
    <mergeCell ref="D20:F20"/>
    <mergeCell ref="I20:J20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DB008-9F0F-405A-9E50-83AE9BDC5964}">
  <sheetPr codeName="Sheet215">
    <tabColor rgb="FFFFC000"/>
    <pageSetUpPr fitToPage="1"/>
  </sheetPr>
  <dimension ref="B1:P42"/>
  <sheetViews>
    <sheetView topLeftCell="A14" workbookViewId="0">
      <selection activeCell="K33" sqref="K3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1355</v>
      </c>
      <c r="J10" s="24" t="s">
        <v>27</v>
      </c>
      <c r="K10" s="464">
        <v>202211153</v>
      </c>
      <c r="L10" s="465"/>
    </row>
    <row r="11" spans="2:12" ht="20.149999999999999" customHeight="1" x14ac:dyDescent="0.45">
      <c r="B11" s="466" t="s">
        <v>1306</v>
      </c>
      <c r="C11" s="467"/>
      <c r="D11" s="468"/>
      <c r="E11" s="25"/>
      <c r="F11" s="469" t="str">
        <f>VLOOKUP(H10,'Delivery Location'!A$4:N$466,2,0)</f>
        <v>R&amp;B TEA SINGAPORE                                  1 KIM SENG PROMENADE  #B1-K104 GREAT WORLD CITY,                 SINGAPORE 237994</v>
      </c>
      <c r="G11" s="470"/>
      <c r="H11" s="471"/>
      <c r="J11" s="26" t="s">
        <v>9</v>
      </c>
      <c r="K11" s="478">
        <v>44873</v>
      </c>
      <c r="L11" s="479"/>
    </row>
    <row r="12" spans="2:12" ht="20.149999999999999" customHeight="1" x14ac:dyDescent="0.45">
      <c r="B12" s="480" t="s">
        <v>1307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 t="s">
        <v>1309</v>
      </c>
      <c r="D18" s="487" t="str">
        <f>VLOOKUP(C18,'Sales Master'!B$3:D$537,2,)</f>
        <v>Passion Fruit Puree 百香果酱</v>
      </c>
      <c r="E18" s="487"/>
      <c r="F18" s="487"/>
      <c r="G18" s="76">
        <v>5</v>
      </c>
      <c r="H18" s="186" t="str">
        <f>VLOOKUP(C18,'Sales Master'!$B$3:$F$2488,5,0)</f>
        <v>1 KG/ Box盒</v>
      </c>
      <c r="I18" s="484" t="str">
        <f>VLOOKUP(C18,'Sales Master'!$B$3:$E$2488,4,0)</f>
        <v>-</v>
      </c>
      <c r="J18" s="484"/>
      <c r="K18" s="30">
        <f>VLOOKUP(C18,'Sales Master'!B$3:AD$537,29,0)</f>
        <v>8.5</v>
      </c>
      <c r="L18" s="64">
        <f>K18*G18</f>
        <v>42.5</v>
      </c>
      <c r="M18" s="65"/>
      <c r="N18" s="145">
        <f>VLOOKUP(C18,'Sales Master'!$B$3:$DA$2279,104,0)</f>
        <v>4.8</v>
      </c>
      <c r="O18" s="145">
        <f>K18-N18</f>
        <v>3.7</v>
      </c>
      <c r="P18" s="145">
        <f>O18*G18</f>
        <v>18.5</v>
      </c>
    </row>
    <row r="19" spans="2:16" ht="20.149999999999999" customHeight="1" x14ac:dyDescent="0.45">
      <c r="B19" s="29"/>
      <c r="C19" s="17"/>
      <c r="D19" s="487"/>
      <c r="E19" s="487"/>
      <c r="F19" s="487"/>
      <c r="G19" s="76"/>
      <c r="H19" s="186"/>
      <c r="I19" s="484"/>
      <c r="J19" s="484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87"/>
      <c r="E20" s="487"/>
      <c r="F20" s="487"/>
      <c r="G20" s="76"/>
      <c r="H20" s="186"/>
      <c r="I20" s="484"/>
      <c r="J20" s="484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87"/>
      <c r="E21" s="487"/>
      <c r="F21" s="487"/>
      <c r="G21" s="76"/>
      <c r="H21" s="56"/>
      <c r="I21" s="494"/>
      <c r="J21" s="494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87"/>
      <c r="E22" s="487"/>
      <c r="F22" s="487"/>
      <c r="G22" s="76"/>
      <c r="H22" s="56"/>
      <c r="I22" s="494"/>
      <c r="J22" s="494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87"/>
      <c r="E26" s="487"/>
      <c r="F26" s="487"/>
      <c r="G26" s="76"/>
      <c r="H26" s="165"/>
      <c r="I26" s="494"/>
      <c r="J26" s="494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488"/>
      <c r="E28" s="488"/>
      <c r="F28" s="488"/>
      <c r="G28" s="33"/>
      <c r="H28" s="57"/>
      <c r="I28" s="459"/>
      <c r="J28" s="459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SUM(L14:L26)</f>
        <v>42.5</v>
      </c>
      <c r="M30" s="63">
        <f>SUM(P18:P26)</f>
        <v>18.5</v>
      </c>
      <c r="N30" s="133">
        <f>M30/L30</f>
        <v>0.43529411764705883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42.5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3.8249999999999997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46.325000000000003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CD757-EBAF-44BC-AB25-A83CAC5DFF72}">
  <sheetPr codeName="Sheet59">
    <tabColor rgb="FFFFC000"/>
    <pageSetUpPr fitToPage="1"/>
  </sheetPr>
  <dimension ref="B1:P42"/>
  <sheetViews>
    <sheetView topLeftCell="C23" workbookViewId="0">
      <selection activeCell="H32" sqref="H3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5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5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5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5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5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5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5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5" ht="19" thickBot="1" x14ac:dyDescent="0.5">
      <c r="B9" s="18"/>
      <c r="N9" s="19" t="s">
        <v>1748</v>
      </c>
      <c r="O9" s="19" t="s">
        <v>1563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1357</v>
      </c>
      <c r="J10" s="24" t="s">
        <v>27</v>
      </c>
      <c r="K10" s="464">
        <v>202501230</v>
      </c>
      <c r="L10" s="465"/>
      <c r="N10" s="19" t="s">
        <v>1309</v>
      </c>
      <c r="O10" s="19" t="s">
        <v>1310</v>
      </c>
    </row>
    <row r="11" spans="2:15" ht="20.149999999999999" customHeight="1" x14ac:dyDescent="0.45">
      <c r="B11" s="466" t="s">
        <v>1306</v>
      </c>
      <c r="C11" s="467"/>
      <c r="D11" s="468"/>
      <c r="E11" s="25"/>
      <c r="F11" s="469" t="str">
        <f>VLOOKUP(H10,'Delivery Location'!A$4:N$466,2,0)</f>
        <v>R&amp;B TEA SINGAPORE                                 80 MARINE PARADE ROAD                     #03-30A PARKWAY PARADE, SINGAPORE 449269</v>
      </c>
      <c r="G11" s="470"/>
      <c r="H11" s="471"/>
      <c r="J11" s="26" t="s">
        <v>9</v>
      </c>
      <c r="K11" s="478">
        <v>45667</v>
      </c>
      <c r="L11" s="479"/>
      <c r="N11" s="19" t="s">
        <v>730</v>
      </c>
      <c r="O11" s="19" t="s">
        <v>1348</v>
      </c>
    </row>
    <row r="12" spans="2:15" ht="20.149999999999999" customHeight="1" x14ac:dyDescent="0.45">
      <c r="B12" s="480" t="s">
        <v>1307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19" t="s">
        <v>1713</v>
      </c>
      <c r="O12" s="19" t="s">
        <v>1749</v>
      </c>
    </row>
    <row r="13" spans="2:15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786</v>
      </c>
      <c r="O13" s="19" t="s">
        <v>224</v>
      </c>
    </row>
    <row r="14" spans="2:15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  <c r="N14" s="19" t="s">
        <v>1740</v>
      </c>
      <c r="O14" s="19" t="s">
        <v>1534</v>
      </c>
    </row>
    <row r="15" spans="2:15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1309</v>
      </c>
      <c r="D18" s="487" t="str">
        <f>VLOOKUP(C18,'Sales Master'!B$3:D$537,2,)</f>
        <v>Passion Fruit Puree 百香果酱</v>
      </c>
      <c r="E18" s="487"/>
      <c r="F18" s="487"/>
      <c r="G18" s="76">
        <v>1</v>
      </c>
      <c r="H18" s="186" t="str">
        <f>VLOOKUP(C18,'Sales Master'!$B$3:$F$2488,5,0)</f>
        <v>1 KG/ Box盒</v>
      </c>
      <c r="I18" s="484" t="str">
        <f>VLOOKUP(C18,'Sales Master'!$B$3:$E$2488,4,0)</f>
        <v>-</v>
      </c>
      <c r="J18" s="484"/>
      <c r="K18" s="30">
        <f>VLOOKUP(C18,'Sales Master'!B$3:AD$537,29,0)</f>
        <v>8.5</v>
      </c>
      <c r="L18" s="64">
        <f t="shared" ref="L18:L19" si="0">K18*G18</f>
        <v>8.5</v>
      </c>
      <c r="M18" s="65"/>
      <c r="N18" s="145">
        <f>VLOOKUP(C18,'Sales Master'!$B$3:$DA$2279,104,0)</f>
        <v>4.8</v>
      </c>
      <c r="O18" s="145">
        <f t="shared" ref="O18:O19" si="1">K18-N18</f>
        <v>3.7</v>
      </c>
      <c r="P18" s="145">
        <f t="shared" ref="P18:P19" si="2">O18*G18</f>
        <v>3.7</v>
      </c>
    </row>
    <row r="19" spans="2:16" ht="20.149999999999999" customHeight="1" x14ac:dyDescent="0.45">
      <c r="B19" s="29"/>
      <c r="C19" s="212" t="s">
        <v>730</v>
      </c>
      <c r="D19" s="487" t="str">
        <f>VLOOKUP(C19,'Sales Master'!B$3:D$537,2,)</f>
        <v>Grass Jelly 仙草冻</v>
      </c>
      <c r="E19" s="487"/>
      <c r="F19" s="487"/>
      <c r="G19" s="76">
        <v>5</v>
      </c>
      <c r="H19" s="186" t="str">
        <f>VLOOKUP(C19,'Sales Master'!$B$3:$F$2488,5,0)</f>
        <v>1 KG/ Box盒</v>
      </c>
      <c r="I19" s="484" t="str">
        <f>VLOOKUP(C19,'Sales Master'!$B$3:$E$2488,4,0)</f>
        <v>DO!</v>
      </c>
      <c r="J19" s="484"/>
      <c r="K19" s="30">
        <f>VLOOKUP(C19,'Sales Master'!B$3:AD$537,29,0)</f>
        <v>3.5</v>
      </c>
      <c r="L19" s="64">
        <f t="shared" si="0"/>
        <v>17.5</v>
      </c>
      <c r="M19" s="65"/>
      <c r="N19" s="145">
        <f>VLOOKUP(C19,'Sales Master'!$B$3:$DA$2279,104,0)</f>
        <v>1.0900000000000001</v>
      </c>
      <c r="O19" s="145">
        <f t="shared" si="1"/>
        <v>2.41</v>
      </c>
      <c r="P19" s="145">
        <f t="shared" si="2"/>
        <v>12.05</v>
      </c>
    </row>
    <row r="20" spans="2:16" ht="20.149999999999999" customHeight="1" x14ac:dyDescent="0.45">
      <c r="B20" s="29"/>
      <c r="C20" s="212" t="s">
        <v>786</v>
      </c>
      <c r="D20" s="487" t="str">
        <f>VLOOKUP(C20,'Sales Master'!B$3:D$537,2,)</f>
        <v>Tapioca Flour 茨粉</v>
      </c>
      <c r="E20" s="487"/>
      <c r="F20" s="487"/>
      <c r="G20" s="76">
        <v>3</v>
      </c>
      <c r="H20" s="186" t="str">
        <f>VLOOKUP(C20,'Sales Master'!$B$3:$F$2488,5,0)</f>
        <v xml:space="preserve">500 GM/pkt </v>
      </c>
      <c r="I20" s="484" t="str">
        <f>VLOOKUP(C20,'Sales Master'!$B$3:$E$2488,4,0)</f>
        <v>F/man 飞人</v>
      </c>
      <c r="J20" s="484"/>
      <c r="K20" s="30">
        <f>VLOOKUP(C20,'Sales Master'!B$3:AD$537,29,0)</f>
        <v>0.8</v>
      </c>
      <c r="L20" s="64">
        <f t="shared" ref="L20" si="3">K20*G20</f>
        <v>2.4000000000000004</v>
      </c>
      <c r="M20" s="65"/>
      <c r="N20" s="145">
        <f>VLOOKUP(C20,'Sales Master'!$B$3:$DA$2279,104,0)</f>
        <v>0.62</v>
      </c>
      <c r="O20" s="145">
        <f t="shared" ref="O20" si="4">K20-N20</f>
        <v>0.18000000000000005</v>
      </c>
      <c r="P20" s="145">
        <f t="shared" ref="P20" si="5">O20*G20</f>
        <v>0.54000000000000015</v>
      </c>
    </row>
    <row r="21" spans="2:16" ht="20.149999999999999" customHeight="1" x14ac:dyDescent="0.45">
      <c r="B21" s="29"/>
      <c r="C21" s="212" t="s">
        <v>1267</v>
      </c>
      <c r="D21" s="487" t="str">
        <f>VLOOKUP(C21,'Sales Master'!B$3:D$537,2,)</f>
        <v>Rose Petal 玫瑰花瓣</v>
      </c>
      <c r="E21" s="487"/>
      <c r="F21" s="487"/>
      <c r="G21" s="76">
        <v>1</v>
      </c>
      <c r="H21" s="186" t="str">
        <f>VLOOKUP(C21,'Sales Master'!$B$3:$F$2488,5,0)</f>
        <v>50gm</v>
      </c>
      <c r="I21" s="484" t="str">
        <f>VLOOKUP(C21,'Sales Master'!$B$3:$E$2488,4,0)</f>
        <v>-</v>
      </c>
      <c r="J21" s="484"/>
      <c r="K21" s="30">
        <f>VLOOKUP(C21,'Sales Master'!B$3:AD$537,29,0)</f>
        <v>6</v>
      </c>
      <c r="L21" s="64">
        <f t="shared" ref="L21" si="6">K21*G21</f>
        <v>6</v>
      </c>
      <c r="M21" s="65"/>
      <c r="N21" s="145">
        <f>VLOOKUP(C21,'Sales Master'!$B$3:$DA$2279,104,0)</f>
        <v>6.9</v>
      </c>
      <c r="O21" s="145">
        <f t="shared" ref="O21" si="7">K21-N21</f>
        <v>-0.90000000000000036</v>
      </c>
      <c r="P21" s="145">
        <f t="shared" ref="P21" si="8">O21*G21</f>
        <v>-0.90000000000000036</v>
      </c>
    </row>
    <row r="22" spans="2:16" ht="20.149999999999999" customHeight="1" x14ac:dyDescent="0.45">
      <c r="B22" s="29"/>
      <c r="C22" s="212"/>
      <c r="D22" s="487"/>
      <c r="E22" s="487"/>
      <c r="F22" s="487"/>
      <c r="G22" s="76"/>
      <c r="H22" s="186"/>
      <c r="I22" s="484"/>
      <c r="J22" s="484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G23" s="76"/>
      <c r="H23" s="186"/>
      <c r="I23" s="484"/>
      <c r="J23" s="484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G24" s="76"/>
      <c r="H24" s="186"/>
      <c r="I24" s="208"/>
      <c r="J24" s="208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G25" s="76"/>
      <c r="H25" s="186"/>
      <c r="I25" s="208"/>
      <c r="J25" s="208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87"/>
      <c r="E26" s="487"/>
      <c r="F26" s="487"/>
      <c r="G26" s="76"/>
      <c r="H26" s="56"/>
      <c r="I26" s="494"/>
      <c r="J26" s="494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488"/>
      <c r="E28" s="488"/>
      <c r="F28" s="488"/>
      <c r="G28" s="33"/>
      <c r="H28" s="57"/>
      <c r="I28" s="459"/>
      <c r="J28" s="459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SUM(L14:L29)</f>
        <v>34.4</v>
      </c>
      <c r="M30" s="63">
        <f>SUM(P18:P29)</f>
        <v>15.389999999999999</v>
      </c>
      <c r="N30" s="133">
        <f>M30/L30</f>
        <v>0.44738372093023254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34.4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3.0959999999999996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37.495999999999995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3">
    <mergeCell ref="D22:F22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0:F20"/>
    <mergeCell ref="I20:J20"/>
    <mergeCell ref="D21:F21"/>
    <mergeCell ref="I21:J21"/>
    <mergeCell ref="I17:J17"/>
    <mergeCell ref="D19:F19"/>
    <mergeCell ref="I19:J19"/>
    <mergeCell ref="D18:F18"/>
    <mergeCell ref="I18:J18"/>
    <mergeCell ref="D17:F17"/>
    <mergeCell ref="I23:J23"/>
    <mergeCell ref="J30:K30"/>
    <mergeCell ref="J32:K32"/>
    <mergeCell ref="J34:K34"/>
    <mergeCell ref="D28:F28"/>
    <mergeCell ref="I28:J28"/>
    <mergeCell ref="D26:F26"/>
    <mergeCell ref="I26:J26"/>
  </mergeCells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54683-8D29-46B9-A6EE-EEAFF1965E02}">
  <sheetPr codeName="Sheet53">
    <tabColor rgb="FFFFC000"/>
    <pageSetUpPr fitToPage="1"/>
  </sheetPr>
  <dimension ref="B1:P1048568"/>
  <sheetViews>
    <sheetView topLeftCell="A23"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5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5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5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5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5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5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5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5" ht="19" thickBot="1" x14ac:dyDescent="0.5">
      <c r="B9" s="18"/>
      <c r="N9" s="19" t="s">
        <v>1309</v>
      </c>
      <c r="O9" s="19" t="s">
        <v>1868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1358</v>
      </c>
      <c r="J10" s="24" t="s">
        <v>27</v>
      </c>
      <c r="K10" s="464">
        <v>202501150</v>
      </c>
      <c r="L10" s="465"/>
      <c r="N10" s="19" t="s">
        <v>730</v>
      </c>
      <c r="O10" s="19" t="s">
        <v>1348</v>
      </c>
    </row>
    <row r="11" spans="2:15" ht="20.149999999999999" customHeight="1" x14ac:dyDescent="0.45">
      <c r="B11" s="466" t="s">
        <v>1306</v>
      </c>
      <c r="C11" s="467"/>
      <c r="D11" s="468"/>
      <c r="E11" s="25"/>
      <c r="F11" s="469" t="str">
        <f>VLOOKUP(H10,'Delivery Location'!A$4:N$466,2,0)</f>
        <v>R&amp;B TEA SINGAPORE                                 BLK 118 RIVERVALE DRIVE                      #01-K16 RIVERVALE PLAZA,    SINGAPORE 540118</v>
      </c>
      <c r="G11" s="470"/>
      <c r="H11" s="471"/>
      <c r="J11" s="26" t="s">
        <v>9</v>
      </c>
      <c r="K11" s="478">
        <v>45664</v>
      </c>
      <c r="L11" s="479"/>
      <c r="N11" s="19" t="s">
        <v>1713</v>
      </c>
      <c r="O11" s="19" t="s">
        <v>1869</v>
      </c>
    </row>
    <row r="12" spans="2:15" ht="20.149999999999999" customHeight="1" x14ac:dyDescent="0.45">
      <c r="B12" s="480" t="s">
        <v>1307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19" t="s">
        <v>786</v>
      </c>
      <c r="O12" s="19" t="s">
        <v>224</v>
      </c>
    </row>
    <row r="13" spans="2:15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1740</v>
      </c>
      <c r="O13" s="19" t="s">
        <v>1534</v>
      </c>
    </row>
    <row r="14" spans="2:15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  <c r="N14" s="17" t="s">
        <v>786</v>
      </c>
    </row>
    <row r="15" spans="2:15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1309</v>
      </c>
      <c r="D18" s="487" t="str">
        <f>VLOOKUP(C18,'Sales Master'!B$3:D$537,2,)</f>
        <v>Passion Fruit Puree 百香果酱</v>
      </c>
      <c r="E18" s="487"/>
      <c r="F18" s="487"/>
      <c r="G18" s="76">
        <v>2</v>
      </c>
      <c r="H18" s="186" t="str">
        <f>VLOOKUP(C18,'Sales Master'!$B$3:$F$2488,5,0)</f>
        <v>1 KG/ Box盒</v>
      </c>
      <c r="I18" s="484" t="str">
        <f>VLOOKUP(C18,'Sales Master'!$B$3:$E$2488,4,0)</f>
        <v>-</v>
      </c>
      <c r="J18" s="484"/>
      <c r="K18" s="30">
        <f>VLOOKUP(C18,'Sales Master'!B$3:AD$537,29,0)</f>
        <v>8.5</v>
      </c>
      <c r="L18" s="64">
        <f>K18*G18</f>
        <v>17</v>
      </c>
      <c r="M18" s="65"/>
      <c r="N18" s="145">
        <f>VLOOKUP(C18,'Sales Master'!$B$3:$DA$2279,104,0)</f>
        <v>4.8</v>
      </c>
      <c r="O18" s="145">
        <f>K18-N18</f>
        <v>3.7</v>
      </c>
      <c r="P18" s="145">
        <f>O18*G18</f>
        <v>7.4</v>
      </c>
    </row>
    <row r="19" spans="2:16" ht="20.149999999999999" customHeight="1" x14ac:dyDescent="0.45">
      <c r="B19" s="29"/>
      <c r="C19" s="212" t="s">
        <v>730</v>
      </c>
      <c r="D19" s="487" t="str">
        <f>VLOOKUP(C19,'Sales Master'!B$3:D$537,2,)</f>
        <v>Grass Jelly 仙草冻</v>
      </c>
      <c r="E19" s="487"/>
      <c r="F19" s="487"/>
      <c r="G19" s="76">
        <v>6</v>
      </c>
      <c r="H19" s="186" t="str">
        <f>VLOOKUP(C19,'Sales Master'!$B$3:$F$2488,5,0)</f>
        <v>1 KG/ Box盒</v>
      </c>
      <c r="I19" s="484" t="str">
        <f>VLOOKUP(C19,'Sales Master'!$B$3:$E$2488,4,0)</f>
        <v>DO!</v>
      </c>
      <c r="J19" s="484"/>
      <c r="K19" s="30">
        <f>VLOOKUP(C19,'Sales Master'!B$3:AD$537,29,0)</f>
        <v>3.5</v>
      </c>
      <c r="L19" s="64">
        <f>K19*G19</f>
        <v>21</v>
      </c>
      <c r="M19" s="65"/>
      <c r="N19" s="145">
        <f>VLOOKUP(C19,'Sales Master'!$B$3:$DA$2279,104,0)</f>
        <v>1.0900000000000001</v>
      </c>
      <c r="O19" s="145">
        <f>K19-N19</f>
        <v>2.41</v>
      </c>
      <c r="P19" s="145">
        <f>O19*G19</f>
        <v>14.46</v>
      </c>
    </row>
    <row r="20" spans="2:16" ht="20.149999999999999" customHeight="1" x14ac:dyDescent="0.45">
      <c r="B20" s="29"/>
      <c r="C20" s="212"/>
      <c r="D20" s="487"/>
      <c r="E20" s="487"/>
      <c r="F20" s="487"/>
      <c r="G20" s="76"/>
      <c r="H20" s="186"/>
      <c r="I20" s="484"/>
      <c r="J20" s="484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2"/>
      <c r="D21" s="487"/>
      <c r="E21" s="487"/>
      <c r="F21" s="487"/>
      <c r="G21" s="76"/>
      <c r="H21" s="186"/>
      <c r="I21" s="484"/>
      <c r="J21" s="484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87"/>
      <c r="E22" s="487"/>
      <c r="F22" s="487"/>
      <c r="G22" s="76"/>
      <c r="H22" s="186"/>
      <c r="I22" s="484"/>
      <c r="J22" s="484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87"/>
      <c r="E25" s="487"/>
      <c r="F25" s="487"/>
      <c r="G25" s="76"/>
      <c r="H25" s="165"/>
      <c r="I25" s="494"/>
      <c r="J25" s="494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G26" s="76"/>
      <c r="H26" s="165"/>
      <c r="I26" s="56"/>
      <c r="J26" s="56"/>
      <c r="K26" s="30"/>
      <c r="L26" s="64"/>
      <c r="M26" s="65"/>
      <c r="N26" s="145"/>
      <c r="O26" s="145"/>
      <c r="P26" s="145"/>
    </row>
    <row r="27" spans="2:16" ht="20.149999999999999" customHeight="1" thickBot="1" x14ac:dyDescent="0.5">
      <c r="B27" s="32"/>
      <c r="C27" s="33"/>
      <c r="D27" s="488"/>
      <c r="E27" s="488"/>
      <c r="F27" s="488"/>
      <c r="G27" s="33"/>
      <c r="H27" s="57"/>
      <c r="I27" s="459"/>
      <c r="J27" s="459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89" t="s">
        <v>13</v>
      </c>
      <c r="K29" s="490"/>
      <c r="L29" s="38">
        <f>SUM(L14:L25)</f>
        <v>38</v>
      </c>
      <c r="M29" s="63">
        <f>SUM(P18:P25)</f>
        <v>21.86</v>
      </c>
      <c r="N29" s="133">
        <f>M29/L29</f>
        <v>0.57526315789473681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91" t="s">
        <v>19</v>
      </c>
      <c r="K31" s="492"/>
      <c r="L31" s="41">
        <f>L29-L30</f>
        <v>38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3.42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85" t="s">
        <v>21</v>
      </c>
      <c r="K33" s="486"/>
      <c r="L33" s="43">
        <f>L31+L32</f>
        <v>41.42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  <row r="1048568" spans="4:6" x14ac:dyDescent="0.45">
      <c r="D1048568" s="487" t="e">
        <f>VLOOKUP(C1048568,'Sales Master'!B$3:D$537,2,)</f>
        <v>#N/A</v>
      </c>
      <c r="E1048568" s="487"/>
      <c r="F1048568" s="487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D18:F18"/>
    <mergeCell ref="I18:J18"/>
    <mergeCell ref="I21:J21"/>
    <mergeCell ref="D22:F22"/>
    <mergeCell ref="I22:J22"/>
    <mergeCell ref="D21:F21"/>
    <mergeCell ref="D19:F19"/>
    <mergeCell ref="I19:J19"/>
    <mergeCell ref="I17:J17"/>
    <mergeCell ref="D20:F20"/>
    <mergeCell ref="I20:J20"/>
    <mergeCell ref="D1048568:F1048568"/>
    <mergeCell ref="D23:F23"/>
    <mergeCell ref="I23:J23"/>
    <mergeCell ref="J29:K29"/>
    <mergeCell ref="J31:K31"/>
    <mergeCell ref="J33:K33"/>
    <mergeCell ref="D24:F24"/>
    <mergeCell ref="I24:J24"/>
    <mergeCell ref="D25:F25"/>
    <mergeCell ref="I25:J25"/>
    <mergeCell ref="D27:F27"/>
    <mergeCell ref="I27:J27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6E28E-9CE4-42B7-ABCD-43EB32895433}">
  <sheetPr codeName="Sheet224">
    <tabColor rgb="FFFFC000"/>
    <pageSetUpPr fitToPage="1"/>
  </sheetPr>
  <dimension ref="B1:P43"/>
  <sheetViews>
    <sheetView topLeftCell="A18" workbookViewId="0">
      <selection activeCell="K25" sqref="K2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1385</v>
      </c>
      <c r="J10" s="24" t="s">
        <v>27</v>
      </c>
      <c r="K10" s="464">
        <v>202301239</v>
      </c>
      <c r="L10" s="465"/>
    </row>
    <row r="11" spans="2:12" ht="20.149999999999999" customHeight="1" x14ac:dyDescent="0.45">
      <c r="B11" s="217"/>
      <c r="C11" s="218"/>
      <c r="D11" s="219"/>
      <c r="E11" s="25"/>
      <c r="F11" s="469" t="str">
        <f>VLOOKUP(H10,'Delivery Location'!A$4:N$466,2,0)</f>
        <v>TUCK SHOP                                                  One Punggol Hawker Centre, 1 Punggol Drive, #02-32, Singapore 828629</v>
      </c>
      <c r="G11" s="470"/>
      <c r="H11" s="471"/>
      <c r="J11" s="26" t="s">
        <v>9</v>
      </c>
      <c r="K11" s="478">
        <v>44939</v>
      </c>
      <c r="L11" s="479"/>
    </row>
    <row r="12" spans="2:12" ht="20.149999999999999" customHeight="1" x14ac:dyDescent="0.45">
      <c r="B12" s="220"/>
      <c r="C12" s="25"/>
      <c r="D12" s="22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/>
      <c r="C13" s="453"/>
      <c r="D13" s="481"/>
      <c r="E13" s="25"/>
      <c r="F13" s="472"/>
      <c r="G13" s="473"/>
      <c r="H13" s="474"/>
      <c r="J13" s="26" t="s">
        <v>10</v>
      </c>
      <c r="K13" s="482" t="s">
        <v>451</v>
      </c>
      <c r="L13" s="483"/>
    </row>
    <row r="14" spans="2:12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/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 t="s">
        <v>715</v>
      </c>
      <c r="D18" s="487" t="str">
        <f>VLOOKUP(C18,'Sales Master'!B$3:D$537,2,)</f>
        <v>Coconut Sugar Syrup 椰糖浆</v>
      </c>
      <c r="E18" s="487"/>
      <c r="F18" s="487"/>
      <c r="G18" s="76">
        <v>3</v>
      </c>
      <c r="H18" s="188" t="str">
        <f>VLOOKUP(C18,'Sales Master'!$B$3:$F$2488,5,0)</f>
        <v>GW: 5 KG/ Btl支</v>
      </c>
      <c r="I18" s="484" t="str">
        <f>VLOOKUP(C18,'Sales Master'!$B$3:$E$2488,4,0)</f>
        <v>DO!</v>
      </c>
      <c r="J18" s="484"/>
      <c r="K18" s="30">
        <f>VLOOKUP(C18,'Sales Master'!B$3:CG$537,77,0)</f>
        <v>20</v>
      </c>
      <c r="L18" s="64">
        <f>K18*G18</f>
        <v>60</v>
      </c>
      <c r="M18" s="65"/>
      <c r="N18" s="145">
        <f>VLOOKUP(C18,'Sales Master'!$B$3:$DA$2279,104,0)</f>
        <v>8.89</v>
      </c>
      <c r="O18" s="145">
        <f>K18-N18</f>
        <v>11.11</v>
      </c>
      <c r="P18" s="145">
        <f>O18*G18</f>
        <v>33.33</v>
      </c>
    </row>
    <row r="19" spans="2:16" ht="20.149999999999999" customHeight="1" x14ac:dyDescent="0.45">
      <c r="B19" s="29"/>
      <c r="C19" s="17"/>
      <c r="D19" s="487"/>
      <c r="E19" s="487"/>
      <c r="F19" s="487"/>
      <c r="G19" s="76"/>
      <c r="H19" s="186"/>
      <c r="I19" s="484"/>
      <c r="J19" s="484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87"/>
      <c r="E20" s="487"/>
      <c r="F20" s="487"/>
      <c r="G20" s="76"/>
      <c r="H20" s="204"/>
      <c r="I20" s="484"/>
      <c r="J20" s="484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87"/>
      <c r="E21" s="487"/>
      <c r="F21" s="487"/>
      <c r="G21" s="76"/>
      <c r="H21" s="186"/>
      <c r="I21" s="484"/>
      <c r="J21" s="484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87"/>
      <c r="E22" s="487"/>
      <c r="F22" s="487"/>
      <c r="G22" s="76"/>
      <c r="H22" s="56"/>
      <c r="I22" s="494"/>
      <c r="J22" s="494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98" t="s">
        <v>1881</v>
      </c>
      <c r="D23" s="232"/>
      <c r="E23" s="232"/>
      <c r="F23" s="232"/>
      <c r="G23" s="76"/>
      <c r="H23" s="56"/>
      <c r="I23" s="494"/>
      <c r="J23" s="494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 t="s">
        <v>715</v>
      </c>
      <c r="D24" s="487" t="str">
        <f>VLOOKUP(C24,'Sales Master'!B$3:D$537,2,)</f>
        <v>Coconut Sugar Syrup 椰糖浆</v>
      </c>
      <c r="E24" s="487"/>
      <c r="F24" s="487"/>
      <c r="G24" s="76">
        <v>1</v>
      </c>
      <c r="H24" s="188" t="str">
        <f>VLOOKUP(C24,'Sales Master'!$B$3:$F$2488,5,0)</f>
        <v>GW: 5 KG/ Btl支</v>
      </c>
      <c r="I24" s="484" t="str">
        <f>VLOOKUP(C24,'Sales Master'!$B$3:$E$2488,4,0)</f>
        <v>DO!</v>
      </c>
      <c r="J24" s="484"/>
      <c r="K24" s="30">
        <v>18</v>
      </c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87"/>
      <c r="E26" s="487"/>
      <c r="F26" s="487"/>
      <c r="G26" s="76"/>
      <c r="H26" s="56"/>
      <c r="I26" s="494"/>
      <c r="J26" s="494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87"/>
      <c r="E27" s="487"/>
      <c r="F27" s="487"/>
      <c r="G27" s="76"/>
      <c r="H27" s="56"/>
      <c r="I27" s="494"/>
      <c r="J27" s="494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G28" s="76"/>
      <c r="H28" s="165"/>
      <c r="I28" s="56"/>
      <c r="J28" s="56"/>
      <c r="K28" s="30"/>
      <c r="L28" s="64"/>
      <c r="M28" s="65"/>
      <c r="N28" s="145"/>
      <c r="O28" s="145"/>
      <c r="P28" s="145"/>
    </row>
    <row r="29" spans="2:16" ht="20.149999999999999" customHeight="1" thickBot="1" x14ac:dyDescent="0.5">
      <c r="B29" s="32"/>
      <c r="C29" s="33"/>
      <c r="D29" s="488"/>
      <c r="E29" s="488"/>
      <c r="F29" s="488"/>
      <c r="G29" s="33"/>
      <c r="H29" s="57"/>
      <c r="I29" s="459"/>
      <c r="J29" s="459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89" t="s">
        <v>13</v>
      </c>
      <c r="K31" s="490"/>
      <c r="L31" s="38">
        <f>SUM(L14:L27)</f>
        <v>60</v>
      </c>
      <c r="M31" s="63">
        <f>SUM(P18:P27)</f>
        <v>33.33</v>
      </c>
      <c r="N31" s="133">
        <f>M31/L31</f>
        <v>0.55549999999999999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91" t="s">
        <v>19</v>
      </c>
      <c r="K33" s="492"/>
      <c r="L33" s="41">
        <f>L31-L32</f>
        <v>60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5.3999999999999995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85" t="s">
        <v>21</v>
      </c>
      <c r="K35" s="486"/>
      <c r="L35" s="43">
        <f>L33+L34</f>
        <v>65.400000000000006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7">
    <mergeCell ref="J35:K35"/>
    <mergeCell ref="D29:F29"/>
    <mergeCell ref="I29:J29"/>
    <mergeCell ref="J31:K31"/>
    <mergeCell ref="J33:K33"/>
    <mergeCell ref="D27:F27"/>
    <mergeCell ref="I27:J27"/>
    <mergeCell ref="D24:F24"/>
    <mergeCell ref="I24:J24"/>
    <mergeCell ref="D25:F25"/>
    <mergeCell ref="I25:J25"/>
    <mergeCell ref="D26:F26"/>
    <mergeCell ref="I26:J26"/>
    <mergeCell ref="D17:F17"/>
    <mergeCell ref="I17:J17"/>
    <mergeCell ref="D18:F18"/>
    <mergeCell ref="I18:J18"/>
    <mergeCell ref="I23:J23"/>
    <mergeCell ref="D19:F19"/>
    <mergeCell ref="I19:J19"/>
    <mergeCell ref="D20:F20"/>
    <mergeCell ref="I20:J20"/>
    <mergeCell ref="D21:F21"/>
    <mergeCell ref="I21:J21"/>
    <mergeCell ref="D22:F22"/>
    <mergeCell ref="I22:J22"/>
    <mergeCell ref="B1:L8"/>
    <mergeCell ref="K10:L10"/>
    <mergeCell ref="F11:H15"/>
    <mergeCell ref="K11:L11"/>
    <mergeCell ref="K12:L12"/>
    <mergeCell ref="B13:D13"/>
    <mergeCell ref="K13:L13"/>
    <mergeCell ref="B14:D14"/>
    <mergeCell ref="K14:L14"/>
    <mergeCell ref="B15:D15"/>
    <mergeCell ref="K15:L15"/>
  </mergeCells>
  <conditionalFormatting sqref="C23">
    <cfRule type="duplicateValues" dxfId="57" priority="1"/>
  </conditionalFormatting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58FB5-D07C-4E42-9B74-0CEE3CFC248C}">
  <sheetPr codeName="Sheet227">
    <tabColor rgb="FFFFC000"/>
    <pageSetUpPr fitToPage="1"/>
  </sheetPr>
  <dimension ref="B1:P43"/>
  <sheetViews>
    <sheetView topLeftCell="A16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17.72656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6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6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6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6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6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6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6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6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6" ht="19" thickBot="1" x14ac:dyDescent="0.5">
      <c r="B9" s="18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1399</v>
      </c>
      <c r="J10" s="24" t="s">
        <v>27</v>
      </c>
      <c r="K10" s="464">
        <v>202504200</v>
      </c>
      <c r="L10" s="465"/>
    </row>
    <row r="11" spans="2:16" ht="20.149999999999999" customHeight="1" x14ac:dyDescent="0.45">
      <c r="B11" s="466" t="s">
        <v>1306</v>
      </c>
      <c r="C11" s="467"/>
      <c r="D11" s="468"/>
      <c r="E11" s="25"/>
      <c r="F11" s="469" t="str">
        <f>VLOOKUP(H10,'Delivery Location'!A$4:N$466,2,0)</f>
        <v>R&amp;B TEA SINGAPORE                                 301 UPPER THOMSON ROAD                 #01-106 THOMSON PLAZA,    SINGAPORE 574408</v>
      </c>
      <c r="G11" s="470"/>
      <c r="H11" s="471"/>
      <c r="J11" s="26" t="s">
        <v>9</v>
      </c>
      <c r="K11" s="478">
        <v>45755</v>
      </c>
      <c r="L11" s="479"/>
    </row>
    <row r="12" spans="2:16" ht="20.149999999999999" customHeight="1" x14ac:dyDescent="0.45">
      <c r="B12" s="480" t="s">
        <v>1307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6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6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6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6" ht="19" thickBot="1" x14ac:dyDescent="0.5">
      <c r="J16" s="17"/>
      <c r="N16" s="145"/>
      <c r="O16" s="145"/>
      <c r="P16" s="145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9" t="s">
        <v>1309</v>
      </c>
      <c r="O17" s="19" t="s">
        <v>1868</v>
      </c>
    </row>
    <row r="18" spans="2:16" ht="20.149999999999999" customHeight="1" x14ac:dyDescent="0.45">
      <c r="B18" s="29"/>
      <c r="C18" s="212" t="s">
        <v>1309</v>
      </c>
      <c r="D18" s="487" t="str">
        <f>VLOOKUP(C18,'Sales Master'!B$3:D$537,2,)</f>
        <v>Passion Fruit Puree 百香果酱</v>
      </c>
      <c r="E18" s="487"/>
      <c r="F18" s="487"/>
      <c r="G18" s="76">
        <v>2</v>
      </c>
      <c r="H18" s="186" t="str">
        <f>VLOOKUP(C18,'Sales Master'!$B$3:$F$2488,5,0)</f>
        <v>1 KG/ Box盒</v>
      </c>
      <c r="I18" s="484" t="str">
        <f>VLOOKUP(C18,'Sales Master'!$B$3:$E$2488,4,0)</f>
        <v>-</v>
      </c>
      <c r="J18" s="484"/>
      <c r="K18" s="30">
        <f>VLOOKUP(C18,'Sales Master'!B$3:AD$537,29,0)</f>
        <v>8.5</v>
      </c>
      <c r="L18" s="64">
        <f>K18*G18</f>
        <v>17</v>
      </c>
      <c r="M18" s="65"/>
      <c r="N18" s="19" t="s">
        <v>730</v>
      </c>
      <c r="O18" s="19" t="s">
        <v>1348</v>
      </c>
    </row>
    <row r="19" spans="2:16" ht="20.149999999999999" customHeight="1" x14ac:dyDescent="0.45">
      <c r="B19" s="29"/>
      <c r="C19" s="212" t="s">
        <v>730</v>
      </c>
      <c r="D19" s="487" t="str">
        <f>VLOOKUP(C19,'Sales Master'!B$3:D$537,2,)</f>
        <v>Grass Jelly 仙草冻</v>
      </c>
      <c r="E19" s="487"/>
      <c r="F19" s="487"/>
      <c r="G19" s="76">
        <v>3</v>
      </c>
      <c r="H19" s="186" t="str">
        <f>VLOOKUP(C19,'Sales Master'!$B$3:$F$2488,5,0)</f>
        <v>1 KG/ Box盒</v>
      </c>
      <c r="I19" s="484" t="str">
        <f>VLOOKUP(C19,'Sales Master'!$B$3:$E$2488,4,0)</f>
        <v>DO!</v>
      </c>
      <c r="J19" s="484"/>
      <c r="K19" s="30">
        <f>VLOOKUP(C19,'Sales Master'!B$3:AD$537,29,0)</f>
        <v>3.5</v>
      </c>
      <c r="L19" s="64">
        <f>K19*G19</f>
        <v>10.5</v>
      </c>
      <c r="M19" s="65"/>
      <c r="N19" s="19" t="s">
        <v>1713</v>
      </c>
      <c r="O19" s="19" t="s">
        <v>1869</v>
      </c>
    </row>
    <row r="20" spans="2:16" ht="20.149999999999999" customHeight="1" x14ac:dyDescent="0.45">
      <c r="B20" s="29"/>
      <c r="C20" s="212" t="s">
        <v>786</v>
      </c>
      <c r="D20" s="487" t="str">
        <f>VLOOKUP(C20,'Sales Master'!B$3:D$537,2,)</f>
        <v>Tapioca Flour 茨粉</v>
      </c>
      <c r="E20" s="487"/>
      <c r="F20" s="487"/>
      <c r="G20" s="76">
        <v>3</v>
      </c>
      <c r="H20" s="186" t="str">
        <f>VLOOKUP(C20,'Sales Master'!$B$3:$F$2488,5,0)</f>
        <v xml:space="preserve">500 GM/pkt </v>
      </c>
      <c r="I20" s="484" t="str">
        <f>VLOOKUP(C20,'Sales Master'!$B$3:$E$2488,4,0)</f>
        <v>F/man 飞人</v>
      </c>
      <c r="J20" s="484"/>
      <c r="K20" s="30">
        <f>VLOOKUP(C20,'Sales Master'!B$3:AD$537,29,0)</f>
        <v>0.8</v>
      </c>
      <c r="L20" s="64">
        <f>K20*G20</f>
        <v>2.4000000000000004</v>
      </c>
      <c r="M20" s="65"/>
      <c r="N20" s="19" t="s">
        <v>786</v>
      </c>
      <c r="O20" s="19" t="s">
        <v>224</v>
      </c>
    </row>
    <row r="21" spans="2:16" ht="20.149999999999999" customHeight="1" x14ac:dyDescent="0.45">
      <c r="B21" s="29"/>
      <c r="C21" s="212"/>
      <c r="D21" s="487"/>
      <c r="E21" s="487"/>
      <c r="F21" s="487"/>
      <c r="G21" s="76"/>
      <c r="H21" s="186"/>
      <c r="I21" s="484"/>
      <c r="J21" s="484"/>
      <c r="K21" s="30"/>
      <c r="L21" s="64"/>
      <c r="M21" s="65"/>
      <c r="N21" s="19" t="s">
        <v>1740</v>
      </c>
      <c r="O21" s="19" t="s">
        <v>1534</v>
      </c>
    </row>
    <row r="22" spans="2:16" ht="20.149999999999999" customHeight="1" x14ac:dyDescent="0.45">
      <c r="B22" s="29"/>
      <c r="C22" s="212"/>
      <c r="D22" s="487"/>
      <c r="E22" s="487"/>
      <c r="F22" s="487"/>
      <c r="G22" s="76"/>
      <c r="H22" s="186"/>
      <c r="I22" s="484"/>
      <c r="J22" s="484"/>
      <c r="K22" s="30"/>
      <c r="L22" s="64"/>
      <c r="M22" s="65"/>
      <c r="N22" s="19" t="s">
        <v>1740</v>
      </c>
    </row>
    <row r="23" spans="2:16" ht="20.149999999999999" customHeight="1" x14ac:dyDescent="0.45">
      <c r="B23" s="29"/>
      <c r="C23" s="212"/>
      <c r="D23" s="487"/>
      <c r="E23" s="487"/>
      <c r="F23" s="487"/>
      <c r="G23" s="76"/>
      <c r="H23" s="186"/>
      <c r="I23" s="484"/>
      <c r="J23" s="484"/>
      <c r="K23" s="30"/>
      <c r="L23" s="64"/>
      <c r="M23" s="65"/>
    </row>
    <row r="24" spans="2:16" ht="20.149999999999999" customHeight="1" x14ac:dyDescent="0.45">
      <c r="B24" s="29"/>
      <c r="C24" s="212"/>
      <c r="D24" s="487"/>
      <c r="E24" s="487"/>
      <c r="F24" s="487"/>
      <c r="G24" s="76"/>
      <c r="H24" s="186"/>
      <c r="I24" s="484"/>
      <c r="J24" s="484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87"/>
      <c r="E25" s="487"/>
      <c r="F25" s="487"/>
      <c r="G25" s="76"/>
      <c r="H25" s="186"/>
      <c r="I25" s="484"/>
      <c r="J25" s="484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87"/>
      <c r="E26" s="487"/>
      <c r="F26" s="487"/>
      <c r="G26" s="76"/>
      <c r="H26" s="56"/>
      <c r="I26" s="494"/>
      <c r="J26" s="494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87"/>
      <c r="E27" s="487"/>
      <c r="F27" s="487"/>
      <c r="G27" s="76"/>
      <c r="H27" s="165"/>
      <c r="I27" s="494"/>
      <c r="J27" s="494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G28" s="76"/>
      <c r="H28" s="165"/>
      <c r="I28" s="56"/>
      <c r="J28" s="56"/>
      <c r="K28" s="30"/>
      <c r="L28" s="64"/>
      <c r="M28" s="65"/>
      <c r="N28" s="145"/>
      <c r="O28" s="145"/>
      <c r="P28" s="145"/>
    </row>
    <row r="29" spans="2:16" ht="20.149999999999999" customHeight="1" thickBot="1" x14ac:dyDescent="0.5">
      <c r="B29" s="32"/>
      <c r="C29" s="33"/>
      <c r="D29" s="488"/>
      <c r="E29" s="488"/>
      <c r="F29" s="488"/>
      <c r="G29" s="33"/>
      <c r="H29" s="57"/>
      <c r="I29" s="459"/>
      <c r="J29" s="459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89" t="s">
        <v>13</v>
      </c>
      <c r="K31" s="490"/>
      <c r="L31" s="38">
        <f>SUM(L14:L30)</f>
        <v>29.9</v>
      </c>
      <c r="M31" s="63">
        <f>SUM(P18:P29)</f>
        <v>0</v>
      </c>
      <c r="N31" s="133">
        <f>M31/L31</f>
        <v>0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91" t="s">
        <v>19</v>
      </c>
      <c r="K33" s="492"/>
      <c r="L33" s="41">
        <f>L31-L32</f>
        <v>29.9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2.6909999999999998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85" t="s">
        <v>21</v>
      </c>
      <c r="K35" s="486"/>
      <c r="L35" s="43">
        <f>L33+L34</f>
        <v>32.591000000000001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D25:F25"/>
    <mergeCell ref="I25:J25"/>
    <mergeCell ref="D21:F21"/>
    <mergeCell ref="I21:J21"/>
    <mergeCell ref="D23:F23"/>
    <mergeCell ref="I23:J23"/>
    <mergeCell ref="D24:F24"/>
    <mergeCell ref="I24:J24"/>
    <mergeCell ref="D22:F22"/>
    <mergeCell ref="I22:J22"/>
    <mergeCell ref="J31:K31"/>
    <mergeCell ref="J33:K33"/>
    <mergeCell ref="J35:K35"/>
    <mergeCell ref="D26:F26"/>
    <mergeCell ref="I26:J26"/>
    <mergeCell ref="D27:F27"/>
    <mergeCell ref="I27:J27"/>
    <mergeCell ref="D29:F29"/>
    <mergeCell ref="I29:J29"/>
    <mergeCell ref="D18:F18"/>
    <mergeCell ref="I18:J18"/>
    <mergeCell ref="I17:J17"/>
    <mergeCell ref="D19:F19"/>
    <mergeCell ref="I19:J19"/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</mergeCells>
  <pageMargins left="0.70866141732283472" right="0.31496062992125984" top="0.59055118110236227" bottom="0" header="0.31496062992125984" footer="0.31496062992125984"/>
  <pageSetup paperSize="9" scale="74" orientation="portrait" horizontalDpi="4294967293" r:id="rId1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FB412-6470-46BC-B6EC-F275A6D6D78A}">
  <sheetPr codeName="Sheet9">
    <tabColor rgb="FFFFC000"/>
    <pageSetUpPr fitToPage="1"/>
  </sheetPr>
  <dimension ref="B1:S40"/>
  <sheetViews>
    <sheetView topLeftCell="A20" zoomScaleNormal="10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2.453125" style="19" customWidth="1"/>
    <col min="12" max="12" width="13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1414</v>
      </c>
      <c r="J10" s="24" t="s">
        <v>27</v>
      </c>
      <c r="K10" s="464">
        <v>202504246</v>
      </c>
      <c r="L10" s="465"/>
      <c r="N10" s="19" t="s">
        <v>861</v>
      </c>
    </row>
    <row r="11" spans="2:14" ht="20.149999999999999" customHeight="1" x14ac:dyDescent="0.45">
      <c r="B11" s="466" t="s">
        <v>1415</v>
      </c>
      <c r="C11" s="467"/>
      <c r="D11" s="468"/>
      <c r="E11" s="25"/>
      <c r="F11" s="469" t="str">
        <f>VLOOKUP(H10,'Delivery Location'!A$4:N$466,2,0)</f>
        <v>KOUFU GOURMET PTE LTD                        1 Woodlands Height #05-01                    Singapore 737859</v>
      </c>
      <c r="G11" s="470"/>
      <c r="H11" s="471"/>
      <c r="J11" s="26" t="s">
        <v>9</v>
      </c>
      <c r="K11" s="478">
        <v>45757</v>
      </c>
      <c r="L11" s="479"/>
      <c r="N11" s="19" t="s">
        <v>889</v>
      </c>
    </row>
    <row r="12" spans="2:14" ht="20.149999999999999" customHeight="1" x14ac:dyDescent="0.45">
      <c r="B12" s="480" t="s">
        <v>1417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2301</v>
      </c>
      <c r="L12" s="483"/>
      <c r="N12" s="17" t="s">
        <v>1222</v>
      </c>
    </row>
    <row r="13" spans="2:14" ht="20.149999999999999" customHeight="1" x14ac:dyDescent="0.45">
      <c r="B13" s="480" t="s">
        <v>1221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7" t="s">
        <v>916</v>
      </c>
    </row>
    <row r="14" spans="2:14" ht="20.149999999999999" customHeight="1" x14ac:dyDescent="0.45">
      <c r="B14" s="480" t="s">
        <v>1416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475"/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9" ht="20.149999999999999" customHeight="1" x14ac:dyDescent="0.45">
      <c r="B18" s="29"/>
      <c r="C18" s="212" t="s">
        <v>861</v>
      </c>
      <c r="D18" s="487" t="str">
        <f>VLOOKUP(C18,'Sales Master'!B$3:D$537,2,)</f>
        <v>Laver for Kimbab (Roast)</v>
      </c>
      <c r="E18" s="487"/>
      <c r="F18" s="487"/>
      <c r="G18" s="76">
        <v>10</v>
      </c>
      <c r="H18" s="186" t="str">
        <f>VLOOKUP(C18,'Sales Master'!$B$3:$F$2488,5,0)</f>
        <v>100 sheets</v>
      </c>
      <c r="I18" s="484" t="str">
        <f>VLOOKUP(C18,'Sales Master'!$B$3:$E$2488,4,0)</f>
        <v>-</v>
      </c>
      <c r="J18" s="484"/>
      <c r="K18" s="80">
        <f>VLOOKUP(C18,'Sales Master'!$B$3:$J$2280,9,0)</f>
        <v>25</v>
      </c>
      <c r="L18" s="64">
        <f>K18*G18</f>
        <v>250</v>
      </c>
      <c r="M18" s="65"/>
      <c r="N18" s="145">
        <f>VLOOKUP(C18,'Sales Master'!$B$3:$DA$2279,104,0)</f>
        <v>17.8</v>
      </c>
      <c r="O18" s="145">
        <f>K18-N18</f>
        <v>7.1999999999999993</v>
      </c>
      <c r="P18" s="145">
        <f>O18*G18</f>
        <v>72</v>
      </c>
      <c r="R18" s="63">
        <f>N18*G18*0.07</f>
        <v>12.46</v>
      </c>
      <c r="S18" s="63">
        <f>N18*G18*0.08</f>
        <v>14.24</v>
      </c>
    </row>
    <row r="19" spans="2:19" ht="20.149999999999999" customHeight="1" x14ac:dyDescent="0.45">
      <c r="B19" s="29"/>
      <c r="C19" s="212"/>
      <c r="D19" s="487"/>
      <c r="E19" s="487"/>
      <c r="F19" s="487"/>
      <c r="G19" s="76"/>
      <c r="H19" s="186"/>
      <c r="I19" s="484"/>
      <c r="J19" s="484"/>
      <c r="K19" s="80"/>
      <c r="L19" s="64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2"/>
      <c r="D20" s="487"/>
      <c r="E20" s="487"/>
      <c r="F20" s="487"/>
      <c r="G20" s="76"/>
      <c r="H20" s="186"/>
      <c r="I20" s="484"/>
      <c r="J20" s="484"/>
      <c r="K20" s="80"/>
      <c r="L20" s="64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87"/>
      <c r="E21" s="487"/>
      <c r="F21" s="487"/>
      <c r="G21" s="76"/>
      <c r="H21" s="56"/>
      <c r="I21" s="494"/>
      <c r="J21" s="494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87"/>
      <c r="E22" s="487"/>
      <c r="F22" s="487"/>
      <c r="G22" s="76"/>
      <c r="H22" s="56"/>
      <c r="I22" s="494"/>
      <c r="J22" s="494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87"/>
      <c r="E23" s="487"/>
      <c r="F23" s="487"/>
      <c r="G23" s="76"/>
      <c r="H23" s="186"/>
      <c r="I23" s="484"/>
      <c r="J23" s="484"/>
      <c r="K23" s="592"/>
      <c r="L23" s="593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87"/>
      <c r="E25" s="487"/>
      <c r="F25" s="487"/>
      <c r="G25" s="76"/>
      <c r="H25" s="165"/>
      <c r="I25" s="494"/>
      <c r="J25" s="494"/>
      <c r="K25" s="30"/>
      <c r="L25" s="64"/>
      <c r="M25" s="65"/>
      <c r="N25" s="145"/>
      <c r="O25" s="145"/>
      <c r="P25" s="145"/>
    </row>
    <row r="26" spans="2:19" ht="20.149999999999999" customHeight="1" thickBot="1" x14ac:dyDescent="0.5">
      <c r="B26" s="32"/>
      <c r="C26" s="33"/>
      <c r="D26" s="488"/>
      <c r="E26" s="488"/>
      <c r="F26" s="488"/>
      <c r="G26" s="33"/>
      <c r="H26" s="57"/>
      <c r="I26" s="459"/>
      <c r="J26" s="459"/>
      <c r="K26" s="34"/>
      <c r="L26" s="35"/>
    </row>
    <row r="27" spans="2:19" ht="20.149999999999999" customHeight="1" thickBot="1" x14ac:dyDescent="0.5">
      <c r="B27" s="36"/>
      <c r="L27" s="37"/>
    </row>
    <row r="28" spans="2:19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89" t="s">
        <v>13</v>
      </c>
      <c r="K28" s="490"/>
      <c r="L28" s="38">
        <f>SUM(L14:L25)</f>
        <v>250</v>
      </c>
      <c r="M28" s="63">
        <f>SUM(P18:P25)</f>
        <v>72</v>
      </c>
      <c r="N28" s="133">
        <f>M28/L28</f>
        <v>0.28799999999999998</v>
      </c>
    </row>
    <row r="29" spans="2:19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9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91" t="s">
        <v>19</v>
      </c>
      <c r="K30" s="492"/>
      <c r="L30" s="41">
        <f>L28-L29</f>
        <v>250</v>
      </c>
    </row>
    <row r="31" spans="2:19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22.5</v>
      </c>
    </row>
    <row r="32" spans="2:19" ht="20.149999999999999" customHeight="1" thickBot="1" x14ac:dyDescent="0.5">
      <c r="B32" s="10" t="s">
        <v>23</v>
      </c>
      <c r="C32" s="6"/>
      <c r="D32" s="6"/>
      <c r="E32" s="6"/>
      <c r="F32" s="6"/>
      <c r="G32" s="6"/>
      <c r="H32" s="6"/>
      <c r="I32" s="6"/>
      <c r="J32" s="485" t="s">
        <v>21</v>
      </c>
      <c r="K32" s="486"/>
      <c r="L32" s="43">
        <f>L30+L31</f>
        <v>272.5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36"/>
      <c r="L34" s="37"/>
    </row>
    <row r="35" spans="2:12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</sheetData>
  <mergeCells count="37">
    <mergeCell ref="I17:J17"/>
    <mergeCell ref="D17:F17"/>
    <mergeCell ref="D18:F18"/>
    <mergeCell ref="I18:J18"/>
    <mergeCell ref="K23:L23"/>
    <mergeCell ref="D22:F22"/>
    <mergeCell ref="I22:J22"/>
    <mergeCell ref="D20:F20"/>
    <mergeCell ref="D19:F19"/>
    <mergeCell ref="I19:J19"/>
    <mergeCell ref="I20:J20"/>
    <mergeCell ref="D21:F21"/>
    <mergeCell ref="I21:J21"/>
    <mergeCell ref="D23:F23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28:K28"/>
    <mergeCell ref="J30:K30"/>
    <mergeCell ref="J32:K32"/>
    <mergeCell ref="D24:F24"/>
    <mergeCell ref="I24:J24"/>
    <mergeCell ref="D25:F25"/>
    <mergeCell ref="I25:J25"/>
    <mergeCell ref="D26:F26"/>
    <mergeCell ref="I26:J26"/>
  </mergeCells>
  <pageMargins left="0.70866141732283472" right="0.31496062992125984" top="0.23622047244094491" bottom="0.23622047244094491" header="0.31496062992125984" footer="0.31496062992125984"/>
  <pageSetup paperSize="9" scale="71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D265B-FCF7-4604-BFEA-522A570070F9}">
  <sheetPr codeName="Sheet45">
    <tabColor rgb="FFFF0000"/>
    <pageSetUpPr fitToPage="1"/>
  </sheetPr>
  <dimension ref="B1:V48"/>
  <sheetViews>
    <sheetView topLeftCell="A4" workbookViewId="0">
      <selection activeCell="I20" sqref="I20:J20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8.81640625" style="19" customWidth="1"/>
    <col min="7" max="7" width="8.54296875" style="19" customWidth="1"/>
    <col min="8" max="8" width="16.81640625" style="19" customWidth="1"/>
    <col min="9" max="9" width="1.81640625" style="19" customWidth="1"/>
    <col min="10" max="10" width="13.17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109</v>
      </c>
      <c r="J10" s="24" t="s">
        <v>27</v>
      </c>
      <c r="K10" s="464">
        <v>202404213</v>
      </c>
      <c r="L10" s="465"/>
    </row>
    <row r="11" spans="2:12" ht="20.149999999999999" customHeight="1" x14ac:dyDescent="0.45">
      <c r="B11" s="466"/>
      <c r="C11" s="467"/>
      <c r="D11" s="468"/>
      <c r="E11" s="25"/>
      <c r="F11" s="469" t="str">
        <f>VLOOKUP(H10,'Delivery Location'!A$4:N$466,2,0)</f>
        <v>KENNY                                                                                                                         4, WOODLANDS STREET 12 MARSILING MALL #01-63 SINGAPORE 738620</v>
      </c>
      <c r="G11" s="470"/>
      <c r="H11" s="471"/>
      <c r="J11" s="26" t="s">
        <v>9</v>
      </c>
      <c r="K11" s="478">
        <v>45390</v>
      </c>
      <c r="L11" s="479"/>
    </row>
    <row r="12" spans="2:12" ht="20.149999999999999" customHeight="1" x14ac:dyDescent="0.45">
      <c r="B12" s="480"/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/>
      <c r="C13" s="453"/>
      <c r="D13" s="481"/>
      <c r="E13" s="25"/>
      <c r="F13" s="472"/>
      <c r="G13" s="473"/>
      <c r="H13" s="474"/>
      <c r="J13" s="26" t="s">
        <v>10</v>
      </c>
      <c r="K13" s="482" t="s">
        <v>451</v>
      </c>
      <c r="L13" s="483"/>
    </row>
    <row r="14" spans="2:12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18"/>
      <c r="C15" s="509"/>
      <c r="D15" s="510"/>
      <c r="E15" s="21"/>
      <c r="F15" s="475"/>
      <c r="G15" s="476"/>
      <c r="H15" s="477"/>
      <c r="J15" s="27" t="s">
        <v>11</v>
      </c>
      <c r="K15" s="119"/>
      <c r="L15" s="118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/>
      <c r="C18" s="212" t="s">
        <v>713</v>
      </c>
      <c r="D18" s="19" t="str">
        <f>VLOOKUP(C18,'Sales Master'!B$3:D$537,2,)</f>
        <v>Chendol 浆咯</v>
      </c>
      <c r="G18" s="76">
        <v>5</v>
      </c>
      <c r="H18" s="56" t="str">
        <f>VLOOKUP(C18,'Sales Master'!$B$3:$F$2420,5,0)</f>
        <v>NW(2.2:0.8) 3kg/ Pkt包</v>
      </c>
      <c r="I18" s="494" t="str">
        <f>VLOOKUP(C18,'Sales Master'!$B$3:$E$2420,4,0)</f>
        <v>DO!</v>
      </c>
      <c r="J18" s="494"/>
      <c r="K18" s="30">
        <f>VLOOKUP($C18,'Sales Master'!$B3:$AF3031,31,0)</f>
        <v>7</v>
      </c>
      <c r="L18" s="64">
        <f>K18*G18</f>
        <v>35</v>
      </c>
      <c r="M18" s="65"/>
      <c r="N18" s="145">
        <f>VLOOKUP(C18,'Sales Master'!$B$3:$DA$2279,104,0)</f>
        <v>2.44</v>
      </c>
      <c r="O18" s="145">
        <f>K18-N18</f>
        <v>4.5600000000000005</v>
      </c>
      <c r="P18" s="145">
        <f>O18*G18</f>
        <v>22.800000000000004</v>
      </c>
      <c r="R18" s="19">
        <v>1</v>
      </c>
      <c r="S18" s="19" t="s">
        <v>54</v>
      </c>
      <c r="T18" s="19" t="s">
        <v>328</v>
      </c>
      <c r="V18" s="19">
        <v>6.5</v>
      </c>
    </row>
    <row r="19" spans="2:22" ht="20.149999999999999" customHeight="1" x14ac:dyDescent="0.45">
      <c r="B19" s="58"/>
      <c r="C19" s="17"/>
      <c r="G19" s="76"/>
      <c r="H19" s="56"/>
      <c r="I19" s="494"/>
      <c r="J19" s="494"/>
      <c r="K19" s="30"/>
      <c r="L19" s="64"/>
      <c r="M19" s="65"/>
      <c r="N19" s="145"/>
      <c r="O19" s="145"/>
      <c r="P19" s="145"/>
      <c r="R19" s="19">
        <v>2</v>
      </c>
      <c r="S19" s="19" t="s">
        <v>196</v>
      </c>
      <c r="T19" s="19" t="s">
        <v>32</v>
      </c>
      <c r="V19" s="19">
        <v>12</v>
      </c>
    </row>
    <row r="20" spans="2:22" ht="20.149999999999999" customHeight="1" x14ac:dyDescent="0.45">
      <c r="B20" s="58"/>
      <c r="C20" s="17"/>
      <c r="D20" s="493"/>
      <c r="E20" s="493"/>
      <c r="F20" s="493"/>
      <c r="G20" s="76"/>
      <c r="H20" s="56"/>
      <c r="I20" s="494"/>
      <c r="J20" s="494"/>
      <c r="K20" s="30"/>
      <c r="L20" s="64"/>
      <c r="M20" s="65"/>
      <c r="N20" s="145"/>
      <c r="O20" s="145"/>
      <c r="P20" s="145"/>
      <c r="R20" s="19">
        <v>3</v>
      </c>
      <c r="S20" s="19" t="s">
        <v>34</v>
      </c>
      <c r="T20" s="19" t="s">
        <v>32</v>
      </c>
      <c r="V20" s="19">
        <v>1.5</v>
      </c>
    </row>
    <row r="21" spans="2:22" ht="20.149999999999999" customHeight="1" x14ac:dyDescent="0.45">
      <c r="B21" s="58"/>
      <c r="C21" s="17"/>
      <c r="D21" s="493"/>
      <c r="E21" s="493"/>
      <c r="F21" s="493"/>
      <c r="G21" s="76"/>
      <c r="H21" s="56"/>
      <c r="I21" s="494"/>
      <c r="J21" s="494"/>
      <c r="K21" s="30"/>
      <c r="L21" s="64"/>
      <c r="M21" s="65"/>
      <c r="N21" s="145"/>
      <c r="O21" s="145"/>
      <c r="P21" s="145"/>
    </row>
    <row r="22" spans="2:22" ht="20.149999999999999" customHeight="1" x14ac:dyDescent="0.45">
      <c r="B22" s="58"/>
      <c r="C22" s="17"/>
      <c r="G22" s="76"/>
      <c r="H22" s="56"/>
      <c r="I22" s="494"/>
      <c r="J22" s="494"/>
      <c r="K22" s="30"/>
      <c r="L22" s="64"/>
      <c r="M22" s="65"/>
      <c r="N22" s="145"/>
      <c r="O22" s="145"/>
      <c r="P22" s="145"/>
      <c r="R22" s="19">
        <v>1</v>
      </c>
      <c r="S22" s="19" t="s">
        <v>43</v>
      </c>
      <c r="T22" s="19" t="s">
        <v>428</v>
      </c>
      <c r="V22" s="19">
        <v>18</v>
      </c>
    </row>
    <row r="23" spans="2:22" ht="20.149999999999999" customHeight="1" x14ac:dyDescent="0.45">
      <c r="B23" s="58"/>
      <c r="C23" s="17"/>
      <c r="G23" s="76"/>
      <c r="H23" s="56"/>
      <c r="I23" s="494"/>
      <c r="J23" s="494"/>
      <c r="K23" s="30"/>
      <c r="L23" s="64"/>
      <c r="M23" s="65"/>
      <c r="N23" s="145"/>
      <c r="O23" s="145"/>
      <c r="P23" s="145"/>
    </row>
    <row r="24" spans="2:22" ht="20.149999999999999" customHeight="1" x14ac:dyDescent="0.45">
      <c r="B24" s="58"/>
      <c r="C24" s="17"/>
      <c r="G24" s="76"/>
      <c r="H24" s="56"/>
      <c r="I24" s="494"/>
      <c r="J24" s="494"/>
      <c r="K24" s="30"/>
      <c r="L24" s="64"/>
      <c r="M24" s="65"/>
      <c r="N24" s="145"/>
      <c r="O24" s="145"/>
      <c r="P24" s="145"/>
    </row>
    <row r="25" spans="2:22" ht="20.149999999999999" customHeight="1" x14ac:dyDescent="0.45">
      <c r="B25" s="58"/>
      <c r="C25" s="17"/>
      <c r="G25" s="76"/>
      <c r="H25" s="56"/>
      <c r="I25" s="494"/>
      <c r="J25" s="494"/>
      <c r="K25" s="30"/>
      <c r="L25" s="64"/>
      <c r="M25" s="65"/>
      <c r="N25" s="145"/>
      <c r="O25" s="145"/>
      <c r="P25" s="145"/>
    </row>
    <row r="26" spans="2:22" ht="20.149999999999999" customHeight="1" x14ac:dyDescent="0.45">
      <c r="B26" s="58"/>
      <c r="C26" s="17"/>
      <c r="G26" s="76"/>
      <c r="H26" s="56"/>
      <c r="I26" s="494"/>
      <c r="J26" s="494"/>
      <c r="K26" s="30"/>
      <c r="L26" s="64"/>
      <c r="M26" s="65"/>
      <c r="N26" s="145"/>
      <c r="O26" s="145"/>
      <c r="P26" s="145"/>
    </row>
    <row r="27" spans="2:22" ht="20.149999999999999" customHeight="1" x14ac:dyDescent="0.45">
      <c r="B27" s="58"/>
      <c r="C27" s="17"/>
      <c r="G27" s="76"/>
      <c r="H27" s="56"/>
      <c r="I27" s="494"/>
      <c r="J27" s="494"/>
      <c r="K27" s="30"/>
      <c r="L27" s="64"/>
      <c r="M27" s="65"/>
      <c r="N27" s="145"/>
      <c r="O27" s="145"/>
      <c r="P27" s="145"/>
    </row>
    <row r="28" spans="2:22" ht="20.149999999999999" customHeight="1" x14ac:dyDescent="0.45">
      <c r="B28" s="58"/>
      <c r="C28" s="17"/>
      <c r="G28" s="76"/>
      <c r="H28" s="56"/>
      <c r="I28" s="494"/>
      <c r="J28" s="494"/>
      <c r="K28" s="30"/>
      <c r="L28" s="64"/>
      <c r="M28" s="65"/>
      <c r="N28" s="145"/>
      <c r="O28" s="145"/>
      <c r="P28" s="145"/>
    </row>
    <row r="29" spans="2:22" ht="20.149999999999999" customHeight="1" x14ac:dyDescent="0.45">
      <c r="B29" s="58"/>
      <c r="C29" s="17"/>
      <c r="G29" s="76"/>
      <c r="H29" s="56"/>
      <c r="I29" s="494"/>
      <c r="J29" s="494"/>
      <c r="K29" s="30"/>
      <c r="L29" s="64"/>
      <c r="M29" s="65"/>
      <c r="N29" s="145"/>
      <c r="O29" s="145"/>
      <c r="P29" s="145"/>
    </row>
    <row r="30" spans="2:22" ht="20.149999999999999" customHeight="1" x14ac:dyDescent="0.45">
      <c r="B30" s="58"/>
      <c r="C30" s="17"/>
      <c r="G30" s="76"/>
      <c r="H30" s="56"/>
      <c r="I30" s="494"/>
      <c r="J30" s="494"/>
      <c r="K30" s="30"/>
      <c r="L30" s="64"/>
      <c r="M30" s="65"/>
      <c r="N30" s="145"/>
      <c r="O30" s="145"/>
      <c r="P30" s="145"/>
    </row>
    <row r="31" spans="2:22" ht="20.149999999999999" customHeight="1" x14ac:dyDescent="0.45">
      <c r="B31" s="58"/>
      <c r="C31" s="17"/>
      <c r="G31" s="76"/>
      <c r="H31" s="56"/>
      <c r="I31" s="494"/>
      <c r="J31" s="494"/>
      <c r="K31" s="30"/>
      <c r="L31" s="64"/>
      <c r="M31" s="65"/>
    </row>
    <row r="32" spans="2:22" ht="20.149999999999999" customHeight="1" x14ac:dyDescent="0.45">
      <c r="B32" s="58"/>
      <c r="C32" s="17"/>
      <c r="G32" s="76"/>
      <c r="H32" s="56"/>
      <c r="I32" s="494"/>
      <c r="J32" s="494"/>
      <c r="K32" s="30"/>
      <c r="L32" s="64"/>
      <c r="M32" s="65"/>
    </row>
    <row r="33" spans="2:14" ht="20.149999999999999" customHeight="1" thickBot="1" x14ac:dyDescent="0.5">
      <c r="B33" s="32"/>
      <c r="C33" s="33"/>
      <c r="D33" s="488"/>
      <c r="E33" s="488"/>
      <c r="F33" s="488"/>
      <c r="G33" s="33"/>
      <c r="H33" s="57"/>
      <c r="I33" s="459"/>
      <c r="J33" s="459"/>
      <c r="K33" s="34"/>
      <c r="L33" s="35"/>
    </row>
    <row r="34" spans="2:14" ht="20.149999999999999" customHeight="1" x14ac:dyDescent="0.45">
      <c r="B34" s="58"/>
      <c r="C34" s="17"/>
      <c r="G34" s="17"/>
      <c r="H34" s="56"/>
      <c r="I34" s="494"/>
      <c r="J34" s="494"/>
      <c r="K34" s="30"/>
      <c r="L34" s="64"/>
    </row>
    <row r="35" spans="2:14" ht="20.149999999999999" customHeight="1" thickBot="1" x14ac:dyDescent="0.5">
      <c r="B35" s="36"/>
      <c r="L35" s="37"/>
    </row>
    <row r="36" spans="2:14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89" t="s">
        <v>13</v>
      </c>
      <c r="K36" s="490"/>
      <c r="L36" s="38">
        <f>SUM(L17:L33)</f>
        <v>35</v>
      </c>
      <c r="M36" s="63">
        <f>SUM(P18:P24)</f>
        <v>22.800000000000004</v>
      </c>
      <c r="N36" s="133">
        <f>M36/L36</f>
        <v>0.65142857142857158</v>
      </c>
    </row>
    <row r="37" spans="2:14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4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91" t="s">
        <v>19</v>
      </c>
      <c r="K38" s="492"/>
      <c r="L38" s="41">
        <f>L36-L37</f>
        <v>35</v>
      </c>
    </row>
    <row r="39" spans="2:14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3.15</v>
      </c>
    </row>
    <row r="40" spans="2:14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6"/>
      <c r="J40" s="485" t="s">
        <v>21</v>
      </c>
      <c r="K40" s="486"/>
      <c r="L40" s="43">
        <f>L38+L39</f>
        <v>38.15</v>
      </c>
    </row>
    <row r="41" spans="2:14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36"/>
      <c r="L45" s="37"/>
    </row>
    <row r="46" spans="2:14" ht="20.149999999999999" customHeight="1" x14ac:dyDescent="0.45">
      <c r="B46" s="44"/>
      <c r="C46" s="45"/>
      <c r="D46" s="45"/>
      <c r="J46" s="45"/>
      <c r="K46" s="45"/>
      <c r="L46" s="46"/>
    </row>
    <row r="47" spans="2:14" ht="20.149999999999999" customHeight="1" x14ac:dyDescent="0.45">
      <c r="B47" s="36" t="s">
        <v>25</v>
      </c>
      <c r="J47" s="19" t="s">
        <v>26</v>
      </c>
      <c r="L47" s="37"/>
    </row>
    <row r="48" spans="2:14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37">
    <mergeCell ref="D33:F33"/>
    <mergeCell ref="I33:J33"/>
    <mergeCell ref="I21:J21"/>
    <mergeCell ref="I22:J22"/>
    <mergeCell ref="I19:J19"/>
    <mergeCell ref="I32:J32"/>
    <mergeCell ref="I20:J20"/>
    <mergeCell ref="I31:J31"/>
    <mergeCell ref="I30:J30"/>
    <mergeCell ref="I23:J23"/>
    <mergeCell ref="D20:F20"/>
    <mergeCell ref="D21:F21"/>
    <mergeCell ref="B1:L8"/>
    <mergeCell ref="B15:D15"/>
    <mergeCell ref="I17:J17"/>
    <mergeCell ref="I18:J18"/>
    <mergeCell ref="K10:L10"/>
    <mergeCell ref="B11:D11"/>
    <mergeCell ref="F11:H15"/>
    <mergeCell ref="K11:L11"/>
    <mergeCell ref="B12:D12"/>
    <mergeCell ref="K12:L12"/>
    <mergeCell ref="B13:D13"/>
    <mergeCell ref="D17:F17"/>
    <mergeCell ref="K13:L13"/>
    <mergeCell ref="B14:D14"/>
    <mergeCell ref="K14:L14"/>
    <mergeCell ref="J40:K40"/>
    <mergeCell ref="J36:K36"/>
    <mergeCell ref="J38:K38"/>
    <mergeCell ref="I34:J34"/>
    <mergeCell ref="I24:J24"/>
    <mergeCell ref="I25:J25"/>
    <mergeCell ref="I26:J26"/>
    <mergeCell ref="I27:J27"/>
    <mergeCell ref="I28:J28"/>
    <mergeCell ref="I29:J29"/>
  </mergeCells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59240-59F7-4843-8943-E625CE70DBFF}">
  <sheetPr codeName="Sheet68">
    <tabColor rgb="FF00B050"/>
    <pageSetUpPr fitToPage="1"/>
  </sheetPr>
  <dimension ref="B1:P46"/>
  <sheetViews>
    <sheetView topLeftCell="A6" workbookViewId="0">
      <selection activeCell="K37" sqref="K3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5.632812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1434</v>
      </c>
      <c r="J10" s="24" t="s">
        <v>27</v>
      </c>
      <c r="K10" s="464">
        <v>202302112</v>
      </c>
      <c r="L10" s="465"/>
    </row>
    <row r="11" spans="2:12" ht="20.149999999999999" customHeight="1" x14ac:dyDescent="0.45">
      <c r="B11" s="223" t="s">
        <v>1430</v>
      </c>
      <c r="C11" s="218"/>
      <c r="D11" s="219"/>
      <c r="E11" s="25"/>
      <c r="F11" s="469" t="str">
        <f>VLOOKUP(H10,'Delivery Location'!A$4:N$466,2,0)</f>
        <v>Sembawang Central Zone K RN                                    Blk 588C Montreal Drive #01-106 S(753588)</v>
      </c>
      <c r="G11" s="470"/>
      <c r="H11" s="471"/>
      <c r="J11" s="26" t="s">
        <v>9</v>
      </c>
      <c r="K11" s="478">
        <v>44958</v>
      </c>
      <c r="L11" s="479"/>
    </row>
    <row r="12" spans="2:12" ht="20.149999999999999" customHeight="1" x14ac:dyDescent="0.45">
      <c r="B12" s="224" t="s">
        <v>1431</v>
      </c>
      <c r="C12" s="25"/>
      <c r="D12" s="22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 t="s">
        <v>1432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1254</v>
      </c>
      <c r="L13" s="483"/>
    </row>
    <row r="14" spans="2:12" ht="20.149999999999999" customHeight="1" x14ac:dyDescent="0.45">
      <c r="B14" s="480" t="s">
        <v>1433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/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/>
      <c r="D18" s="487" t="s">
        <v>1469</v>
      </c>
      <c r="E18" s="487"/>
      <c r="F18" s="487"/>
      <c r="G18" s="76">
        <v>100</v>
      </c>
      <c r="H18" s="56" t="s">
        <v>1467</v>
      </c>
      <c r="I18" s="484"/>
      <c r="J18" s="484"/>
      <c r="K18" s="30">
        <v>2</v>
      </c>
      <c r="L18" s="64">
        <f>K18*G18</f>
        <v>200</v>
      </c>
      <c r="M18" s="65"/>
      <c r="N18" s="145"/>
      <c r="O18" s="145"/>
      <c r="P18" s="145"/>
    </row>
    <row r="19" spans="2:16" ht="20.149999999999999" customHeight="1" x14ac:dyDescent="0.45">
      <c r="B19" s="29"/>
      <c r="C19" s="17"/>
      <c r="D19" s="487" t="s">
        <v>1470</v>
      </c>
      <c r="E19" s="487"/>
      <c r="F19" s="487"/>
      <c r="G19" s="76">
        <v>100</v>
      </c>
      <c r="H19" s="56" t="s">
        <v>1468</v>
      </c>
      <c r="I19" s="484"/>
      <c r="J19" s="484"/>
      <c r="K19" s="30">
        <v>1.8</v>
      </c>
      <c r="L19" s="64">
        <f>K19*G19</f>
        <v>180</v>
      </c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87" t="s">
        <v>1471</v>
      </c>
      <c r="E20" s="487"/>
      <c r="F20" s="487"/>
      <c r="G20" s="76">
        <v>111</v>
      </c>
      <c r="H20" s="56" t="s">
        <v>1473</v>
      </c>
      <c r="I20" s="484"/>
      <c r="J20" s="484"/>
      <c r="K20" s="30">
        <v>11.8</v>
      </c>
      <c r="L20" s="64">
        <f>K20*G20</f>
        <v>1309.8000000000002</v>
      </c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87" t="s">
        <v>1472</v>
      </c>
      <c r="E21" s="487"/>
      <c r="F21" s="487"/>
      <c r="G21" s="76">
        <v>111</v>
      </c>
      <c r="H21" s="56" t="s">
        <v>1474</v>
      </c>
      <c r="I21" s="484"/>
      <c r="J21" s="484"/>
      <c r="K21" s="30">
        <v>3.8</v>
      </c>
      <c r="L21" s="64">
        <f>K21*G21</f>
        <v>421.79999999999995</v>
      </c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87"/>
      <c r="E22" s="487"/>
      <c r="F22" s="487"/>
      <c r="G22" s="76"/>
      <c r="H22" s="56"/>
      <c r="I22" s="494"/>
      <c r="J22" s="494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87"/>
      <c r="E26" s="487"/>
      <c r="F26" s="487"/>
      <c r="G26" s="76"/>
      <c r="H26" s="56"/>
      <c r="I26" s="494"/>
      <c r="J26" s="494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87"/>
      <c r="E27" s="487"/>
      <c r="F27" s="487"/>
      <c r="G27" s="76"/>
      <c r="H27" s="56"/>
      <c r="I27" s="494"/>
      <c r="J27" s="494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D28" s="487"/>
      <c r="E28" s="487"/>
      <c r="F28" s="487"/>
      <c r="G28" s="76"/>
      <c r="H28" s="186"/>
      <c r="I28" s="519"/>
      <c r="J28" s="519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17"/>
      <c r="D29" s="487"/>
      <c r="E29" s="487"/>
      <c r="F29" s="487"/>
      <c r="G29" s="76"/>
      <c r="H29" s="186"/>
      <c r="I29" s="519"/>
      <c r="J29" s="519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17"/>
      <c r="D30" s="487"/>
      <c r="E30" s="487"/>
      <c r="F30" s="487"/>
      <c r="G30" s="76"/>
      <c r="H30" s="165"/>
      <c r="I30" s="494"/>
      <c r="J30" s="494"/>
      <c r="K30" s="30"/>
      <c r="L30" s="64"/>
      <c r="M30" s="65"/>
      <c r="N30" s="145"/>
      <c r="O30" s="145"/>
      <c r="P30" s="145"/>
    </row>
    <row r="31" spans="2:16" ht="20.149999999999999" customHeight="1" x14ac:dyDescent="0.45">
      <c r="B31" s="29"/>
      <c r="C31" s="17"/>
      <c r="G31" s="76"/>
      <c r="H31" s="165"/>
      <c r="I31" s="56"/>
      <c r="J31" s="56"/>
      <c r="K31" s="30"/>
      <c r="L31" s="64"/>
      <c r="M31" s="65"/>
      <c r="N31" s="145"/>
      <c r="O31" s="145"/>
      <c r="P31" s="145"/>
    </row>
    <row r="32" spans="2:16" ht="20.149999999999999" customHeight="1" thickBot="1" x14ac:dyDescent="0.5">
      <c r="B32" s="32"/>
      <c r="C32" s="33"/>
      <c r="D32" s="488"/>
      <c r="E32" s="488"/>
      <c r="F32" s="488"/>
      <c r="G32" s="33"/>
      <c r="H32" s="57"/>
      <c r="I32" s="459"/>
      <c r="J32" s="459"/>
      <c r="K32" s="34"/>
      <c r="L32" s="3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89" t="s">
        <v>13</v>
      </c>
      <c r="K34" s="490"/>
      <c r="L34" s="38">
        <f>SUM(L14:L30)</f>
        <v>2111.6000000000004</v>
      </c>
      <c r="M34" s="63">
        <f>SUM(P18:P30)</f>
        <v>0</v>
      </c>
      <c r="N34" s="133">
        <f>M34/L34</f>
        <v>0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v>3.52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91" t="s">
        <v>19</v>
      </c>
      <c r="K36" s="492"/>
      <c r="L36" s="41">
        <f>L34-L35</f>
        <v>2108.0800000000004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189.72720000000004</v>
      </c>
    </row>
    <row r="38" spans="2:14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85" t="s">
        <v>21</v>
      </c>
      <c r="K38" s="486"/>
      <c r="L38" s="43">
        <f>L36+L37</f>
        <v>2297.8072000000002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36"/>
      <c r="L40" s="37"/>
    </row>
    <row r="41" spans="2:14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44">
    <mergeCell ref="D17:F17"/>
    <mergeCell ref="I17:J17"/>
    <mergeCell ref="D18:F18"/>
    <mergeCell ref="B1:L8"/>
    <mergeCell ref="K10:L10"/>
    <mergeCell ref="F11:H15"/>
    <mergeCell ref="K11:L11"/>
    <mergeCell ref="K12:L12"/>
    <mergeCell ref="B13:D13"/>
    <mergeCell ref="K13:L13"/>
    <mergeCell ref="B14:D14"/>
    <mergeCell ref="K14:L14"/>
    <mergeCell ref="B15:D15"/>
    <mergeCell ref="K15:L15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J34:K34"/>
    <mergeCell ref="J36:K36"/>
    <mergeCell ref="J38:K38"/>
    <mergeCell ref="D29:F29"/>
    <mergeCell ref="I29:J29"/>
    <mergeCell ref="D30:F30"/>
    <mergeCell ref="I30:J30"/>
    <mergeCell ref="D32:F32"/>
    <mergeCell ref="I32:J32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29190-2198-40F5-B9D5-7AAB6346073E}">
  <sheetPr codeName="Sheet58">
    <tabColor rgb="FFFFC000"/>
    <pageSetUpPr fitToPage="1"/>
  </sheetPr>
  <dimension ref="B1:P42"/>
  <sheetViews>
    <sheetView topLeftCell="A9" workbookViewId="0">
      <selection activeCell="C33" sqref="C3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5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5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5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5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5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5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5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5" ht="19" thickBot="1" x14ac:dyDescent="0.5">
      <c r="B9" s="18"/>
      <c r="N9" s="19" t="s">
        <v>1309</v>
      </c>
      <c r="O9" s="19" t="s">
        <v>1868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1444</v>
      </c>
      <c r="J10" s="24" t="s">
        <v>27</v>
      </c>
      <c r="K10" s="464">
        <v>202501174</v>
      </c>
      <c r="L10" s="465"/>
      <c r="N10" s="19" t="s">
        <v>730</v>
      </c>
      <c r="O10" s="19" t="s">
        <v>1348</v>
      </c>
    </row>
    <row r="11" spans="2:15" ht="20.149999999999999" customHeight="1" x14ac:dyDescent="0.45">
      <c r="B11" s="466" t="s">
        <v>1306</v>
      </c>
      <c r="C11" s="467"/>
      <c r="D11" s="468"/>
      <c r="E11" s="25"/>
      <c r="F11" s="469" t="str">
        <f>VLOOKUP(H10,'Delivery Location'!A$4:N$466,2,0)</f>
        <v>R&amp;B TEA SINGAPORE                                 BLK 678A WOODLANDS AVE 6              #01-08A, SINGAPORE 731678</v>
      </c>
      <c r="G11" s="470"/>
      <c r="H11" s="471"/>
      <c r="J11" s="26" t="s">
        <v>9</v>
      </c>
      <c r="K11" s="478">
        <v>45665</v>
      </c>
      <c r="L11" s="479"/>
      <c r="N11" s="19" t="s">
        <v>1713</v>
      </c>
      <c r="O11" s="19" t="s">
        <v>1869</v>
      </c>
    </row>
    <row r="12" spans="2:15" ht="20.149999999999999" customHeight="1" x14ac:dyDescent="0.45">
      <c r="B12" s="480" t="s">
        <v>1307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19" t="s">
        <v>786</v>
      </c>
      <c r="O12" s="19" t="s">
        <v>224</v>
      </c>
    </row>
    <row r="13" spans="2:15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1740</v>
      </c>
      <c r="O13" s="19" t="s">
        <v>1534</v>
      </c>
    </row>
    <row r="14" spans="2:15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5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1309</v>
      </c>
      <c r="D18" s="487" t="str">
        <f>VLOOKUP(C18,'Sales Master'!B$3:D$537,2,)</f>
        <v>Passion Fruit Puree 百香果酱</v>
      </c>
      <c r="E18" s="487"/>
      <c r="F18" s="487"/>
      <c r="G18" s="76">
        <v>2</v>
      </c>
      <c r="H18" s="186" t="str">
        <f>VLOOKUP(C18,'Sales Master'!$B$3:$F$2488,5,0)</f>
        <v>1 KG/ Box盒</v>
      </c>
      <c r="I18" s="484" t="str">
        <f>VLOOKUP(C18,'Sales Master'!$B$3:$E$2488,4,0)</f>
        <v>-</v>
      </c>
      <c r="J18" s="484"/>
      <c r="K18" s="30">
        <f>VLOOKUP(C18,'Sales Master'!B$3:AD$537,29,0)</f>
        <v>8.5</v>
      </c>
      <c r="L18" s="64">
        <f>K18*G18</f>
        <v>17</v>
      </c>
      <c r="M18" s="65"/>
      <c r="N18" s="145">
        <f>VLOOKUP(C18,'Sales Master'!$B$3:$DA$2279,104,0)</f>
        <v>4.8</v>
      </c>
      <c r="O18" s="145">
        <f>K18-N18</f>
        <v>3.7</v>
      </c>
      <c r="P18" s="145">
        <f>O18*G18</f>
        <v>7.4</v>
      </c>
    </row>
    <row r="19" spans="2:16" ht="20.149999999999999" customHeight="1" x14ac:dyDescent="0.45">
      <c r="B19" s="29"/>
      <c r="C19" s="212" t="s">
        <v>730</v>
      </c>
      <c r="D19" s="487" t="str">
        <f>VLOOKUP(C19,'Sales Master'!B$3:D$537,2,)</f>
        <v>Grass Jelly 仙草冻</v>
      </c>
      <c r="E19" s="487"/>
      <c r="F19" s="487"/>
      <c r="G19" s="76">
        <v>6</v>
      </c>
      <c r="H19" s="186" t="str">
        <f>VLOOKUP(C19,'Sales Master'!$B$3:$F$2488,5,0)</f>
        <v>1 KG/ Box盒</v>
      </c>
      <c r="I19" s="484" t="str">
        <f>VLOOKUP(C19,'Sales Master'!$B$3:$E$2488,4,0)</f>
        <v>DO!</v>
      </c>
      <c r="J19" s="484"/>
      <c r="K19" s="30">
        <f>VLOOKUP(C19,'Sales Master'!B$3:AD$537,29,0)</f>
        <v>3.5</v>
      </c>
      <c r="L19" s="64">
        <f t="shared" ref="L19" si="0">K19*G19</f>
        <v>21</v>
      </c>
      <c r="M19" s="65"/>
      <c r="N19" s="145">
        <f>VLOOKUP(C19,'Sales Master'!$B$3:$DA$2279,104,0)</f>
        <v>1.0900000000000001</v>
      </c>
      <c r="O19" s="145">
        <f t="shared" ref="O19" si="1">K19-N19</f>
        <v>2.41</v>
      </c>
      <c r="P19" s="145">
        <f t="shared" ref="P19" si="2">O19*G19</f>
        <v>14.46</v>
      </c>
    </row>
    <row r="20" spans="2:16" ht="20.149999999999999" customHeight="1" x14ac:dyDescent="0.45">
      <c r="B20" s="29"/>
      <c r="C20" s="212"/>
      <c r="D20" s="487"/>
      <c r="E20" s="487"/>
      <c r="F20" s="487"/>
      <c r="G20" s="76"/>
      <c r="H20" s="186"/>
      <c r="I20" s="484"/>
      <c r="J20" s="484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2"/>
      <c r="D21" s="487"/>
      <c r="E21" s="487"/>
      <c r="F21" s="487"/>
      <c r="G21" s="76"/>
      <c r="H21" s="186"/>
      <c r="I21" s="484"/>
      <c r="J21" s="484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87"/>
      <c r="E22" s="487"/>
      <c r="F22" s="487"/>
      <c r="G22" s="76"/>
      <c r="H22" s="186"/>
      <c r="I22" s="484"/>
      <c r="J22" s="484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G23" s="76"/>
      <c r="H23" s="186"/>
      <c r="I23" s="208"/>
      <c r="J23" s="208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G24" s="76"/>
      <c r="H24" s="186"/>
      <c r="I24" s="208"/>
      <c r="J24" s="208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87"/>
      <c r="E26" s="487"/>
      <c r="F26" s="487"/>
      <c r="G26" s="76"/>
      <c r="H26" s="165"/>
      <c r="I26" s="494"/>
      <c r="J26" s="494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488"/>
      <c r="E28" s="488"/>
      <c r="F28" s="488"/>
      <c r="G28" s="33"/>
      <c r="H28" s="57"/>
      <c r="I28" s="459"/>
      <c r="J28" s="459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SUM(L14:L26)</f>
        <v>38</v>
      </c>
      <c r="M30" s="63">
        <f>SUM(P18:P26)</f>
        <v>21.86</v>
      </c>
      <c r="N30" s="133">
        <f>M30/L30</f>
        <v>0.57526315789473681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38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3.42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41.42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18:F18"/>
    <mergeCell ref="I18:J18"/>
    <mergeCell ref="D17:F17"/>
    <mergeCell ref="D20:F20"/>
    <mergeCell ref="I20:J20"/>
    <mergeCell ref="D21:F21"/>
    <mergeCell ref="I21:J21"/>
    <mergeCell ref="D22:F22"/>
    <mergeCell ref="I22:J22"/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</mergeCells>
  <pageMargins left="0.70866141732283505" right="0.31496062992126" top="0.59055118110236204" bottom="0" header="0.31496062992126" footer="0.31496062992126"/>
  <pageSetup paperSize="9" scale="73" orientation="portrait" r:id="rId1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99645-A0A8-4E3A-BA5C-716170EF2E98}">
  <sheetPr codeName="Sheet65">
    <tabColor rgb="FFFFC000"/>
    <pageSetUpPr fitToPage="1"/>
  </sheetPr>
  <dimension ref="B1:Q50"/>
  <sheetViews>
    <sheetView zoomScaleNormal="100" workbookViewId="0">
      <selection activeCell="B1" sqref="B1:L4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453125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7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7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7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7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7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7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7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7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7" ht="19" thickBot="1" x14ac:dyDescent="0.5">
      <c r="B9" s="18"/>
    </row>
    <row r="10" spans="2:17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1445</v>
      </c>
      <c r="J10" s="24" t="s">
        <v>27</v>
      </c>
      <c r="K10" s="464">
        <v>202504245</v>
      </c>
      <c r="L10" s="465"/>
    </row>
    <row r="11" spans="2:17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 xml:space="preserve">FOOD REPUBLIC PTE LTD                             Vivo City @Ice Shop #16                               1, Harbourfront Walk #03-01, VivoCity   Singapore 098585                           </v>
      </c>
      <c r="G11" s="470"/>
      <c r="H11" s="471"/>
      <c r="J11" s="26" t="s">
        <v>9</v>
      </c>
      <c r="K11" s="478">
        <v>45757</v>
      </c>
      <c r="L11" s="479"/>
    </row>
    <row r="12" spans="2:17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>
        <v>4500363840</v>
      </c>
      <c r="L12" s="483"/>
    </row>
    <row r="13" spans="2:17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7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  <c r="N14" s="19" t="s">
        <v>1680</v>
      </c>
      <c r="O14" s="19" t="s">
        <v>1723</v>
      </c>
    </row>
    <row r="15" spans="2:17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  <c r="N15" s="17" t="s">
        <v>1158</v>
      </c>
      <c r="O15" s="487" t="e">
        <f>VLOOKUP(N15,'Sales Master'!M$3:O$537,2,)</f>
        <v>#N/A</v>
      </c>
      <c r="P15" s="487"/>
      <c r="Q15" s="487"/>
    </row>
    <row r="16" spans="2:17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417"/>
      <c r="O17" s="417"/>
      <c r="P17" s="417"/>
    </row>
    <row r="18" spans="2:16" ht="20.149999999999999" customHeight="1" x14ac:dyDescent="0.45">
      <c r="B18" s="58">
        <v>522052</v>
      </c>
      <c r="C18" s="212" t="str">
        <f>VLOOKUP(B18,'Sales Master'!A$3:B$537,2,0)</f>
        <v>M1025A</v>
      </c>
      <c r="D18" s="591" t="str">
        <f>VLOOKUP(C18,'Sales Master'!B$3:D$537,2,)</f>
        <v>Mini Sweet Potato Q - Orange 番薯粉圆</v>
      </c>
      <c r="E18" s="591"/>
      <c r="F18" s="591"/>
      <c r="G18" s="76">
        <v>2</v>
      </c>
      <c r="H18" s="183" t="str">
        <f>VLOOKUP(C18,'Sales Master'!$B$3:$F$2420,5,0)</f>
        <v>700 GM/ Box盒</v>
      </c>
      <c r="I18" s="513" t="str">
        <f>VLOOKUP(C18,'Sales Master'!$B$3:$E$2420,4,0)</f>
        <v>DO!</v>
      </c>
      <c r="J18" s="513"/>
      <c r="K18" s="83">
        <f>VLOOKUP(C18,'Sales Master'!B$3:I$537,8,0)</f>
        <v>6</v>
      </c>
      <c r="L18" s="84">
        <f t="shared" ref="L18" si="0">K18*G18</f>
        <v>12</v>
      </c>
      <c r="N18" s="145"/>
      <c r="O18" s="145"/>
      <c r="P18" s="145"/>
    </row>
    <row r="19" spans="2:16" ht="20" customHeight="1" x14ac:dyDescent="0.45">
      <c r="B19" s="58">
        <v>520735</v>
      </c>
      <c r="C19" s="212" t="str">
        <f>VLOOKUP(B19,'Sales Master'!A$3:B$537,2,0)</f>
        <v>M1018</v>
      </c>
      <c r="D19" s="498" t="str">
        <f>VLOOKUP(C19,'Sales Master'!B$3:D$537,2,)</f>
        <v>Pong Thai Hai (Wet) 碰大海(湿)</v>
      </c>
      <c r="E19" s="498"/>
      <c r="F19" s="498"/>
      <c r="G19" s="76">
        <v>1</v>
      </c>
      <c r="H19" s="183" t="str">
        <f>VLOOKUP(C19,'Sales Master'!$B$3:$F$2420,5,0)</f>
        <v>1 KG/ Pkt包</v>
      </c>
      <c r="I19" s="513" t="str">
        <f>VLOOKUP(C19,'Sales Master'!$B$3:$E$2420,4,0)</f>
        <v>DO!</v>
      </c>
      <c r="J19" s="513"/>
      <c r="K19" s="83">
        <f>VLOOKUP(C19,'Sales Master'!B$3:I$537,8,0)</f>
        <v>12</v>
      </c>
      <c r="L19" s="84">
        <f t="shared" ref="L19:L24" si="1">K19*G19</f>
        <v>12</v>
      </c>
      <c r="N19" s="398"/>
      <c r="O19" s="398"/>
      <c r="P19" s="398"/>
    </row>
    <row r="20" spans="2:16" ht="20" customHeight="1" x14ac:dyDescent="0.45">
      <c r="B20" s="58">
        <v>520723</v>
      </c>
      <c r="C20" s="212" t="str">
        <f>VLOOKUP(B20,'Sales Master'!A$3:B$537,2,0)</f>
        <v>P2001B</v>
      </c>
      <c r="D20" s="487" t="str">
        <f>VLOOKUP(C20,'Sales Master'!B$3:D$537,2,)</f>
        <v>Chin Chow powder 仙草粉</v>
      </c>
      <c r="E20" s="487"/>
      <c r="F20" s="487"/>
      <c r="G20" s="76">
        <v>2</v>
      </c>
      <c r="H20" s="183" t="str">
        <f>VLOOKUP(C20,'Sales Master'!$B$3:$F$2420,5,0)</f>
        <v>5 X 100 GM</v>
      </c>
      <c r="I20" s="513" t="str">
        <f>VLOOKUP(C20,'Sales Master'!$B$3:$E$2420,4,0)</f>
        <v>-</v>
      </c>
      <c r="J20" s="513"/>
      <c r="K20" s="83">
        <f>VLOOKUP(C20,'Sales Master'!B$3:I$537,8,0)</f>
        <v>6.5</v>
      </c>
      <c r="L20" s="84">
        <f t="shared" si="1"/>
        <v>13</v>
      </c>
      <c r="N20" s="398"/>
      <c r="O20" s="398"/>
      <c r="P20" s="398"/>
    </row>
    <row r="21" spans="2:16" ht="20.149999999999999" customHeight="1" x14ac:dyDescent="0.45">
      <c r="B21" s="58">
        <v>520695</v>
      </c>
      <c r="C21" s="212" t="str">
        <f>VLOOKUP(B21,'Sales Master'!A$3:B$537,2,0)</f>
        <v>P3001B</v>
      </c>
      <c r="D21" s="487" t="str">
        <f>VLOOKUP(C21,'Sales Master'!B$3:D$537,2,)</f>
        <v>Atap Seeds in Syrup 亚嗒子</v>
      </c>
      <c r="E21" s="487"/>
      <c r="F21" s="487"/>
      <c r="G21" s="76">
        <v>3</v>
      </c>
      <c r="H21" s="183" t="str">
        <f>VLOOKUP(C21,'Sales Master'!$B$3:$F$2420,5,0)</f>
        <v>NW(1.6:0.6) 2.2kg/ Bag包</v>
      </c>
      <c r="I21" s="513" t="str">
        <f>VLOOKUP(C21,'Sales Master'!$B$3:$E$2420,4,0)</f>
        <v>DO!</v>
      </c>
      <c r="J21" s="513"/>
      <c r="K21" s="83">
        <f>VLOOKUP(C21,'Sales Master'!B$3:I$537,8,0)</f>
        <v>10</v>
      </c>
      <c r="L21" s="84">
        <f t="shared" si="1"/>
        <v>30</v>
      </c>
      <c r="N21" s="145"/>
      <c r="O21" s="145"/>
      <c r="P21" s="145"/>
    </row>
    <row r="22" spans="2:16" ht="20" customHeight="1" x14ac:dyDescent="0.45">
      <c r="B22" s="58">
        <v>520738</v>
      </c>
      <c r="C22" s="212" t="str">
        <f>VLOOKUP(B22,'Sales Master'!A$3:B$537,2,0)</f>
        <v>P3005A</v>
      </c>
      <c r="D22" s="487" t="str">
        <f>VLOOKUP(C22,'Sales Master'!B$3:D$537,2,)</f>
        <v>Red Bean 红豆 (5.5 mm)</v>
      </c>
      <c r="E22" s="487"/>
      <c r="F22" s="487"/>
      <c r="G22" s="76">
        <v>1</v>
      </c>
      <c r="H22" s="183" t="str">
        <f>VLOOKUP(C22,'Sales Master'!$B$3:$F$2420,5,0)</f>
        <v>5 KG</v>
      </c>
      <c r="I22" s="513" t="str">
        <f>VLOOKUP(C22,'Sales Master'!$B$3:$E$2420,4,0)</f>
        <v>-</v>
      </c>
      <c r="J22" s="513"/>
      <c r="K22" s="83">
        <f>VLOOKUP(C22,'Sales Master'!B$3:I$537,8,0)</f>
        <v>17.5</v>
      </c>
      <c r="L22" s="84">
        <f t="shared" si="1"/>
        <v>17.5</v>
      </c>
      <c r="N22" s="398"/>
      <c r="O22" s="398"/>
      <c r="P22" s="398"/>
    </row>
    <row r="23" spans="2:16" ht="20" customHeight="1" x14ac:dyDescent="0.45">
      <c r="B23" s="58">
        <v>520785</v>
      </c>
      <c r="C23" s="212" t="str">
        <f>VLOOKUP(B23,'Sales Master'!A$3:B$537,2,0)</f>
        <v>P3012A</v>
      </c>
      <c r="D23" s="487" t="str">
        <f>VLOOKUP(C23,'Sales Master'!B$3:D$537,2,)</f>
        <v>Split Green Mung Bean 豆爽</v>
      </c>
      <c r="E23" s="487"/>
      <c r="F23" s="487"/>
      <c r="G23" s="76">
        <v>1</v>
      </c>
      <c r="H23" s="183" t="str">
        <f>VLOOKUP(C23,'Sales Master'!$B$3:$F$2420,5,0)</f>
        <v>5 KG</v>
      </c>
      <c r="I23" s="513" t="str">
        <f>VLOOKUP(C23,'Sales Master'!$B$3:$E$2420,4,0)</f>
        <v>-</v>
      </c>
      <c r="J23" s="513"/>
      <c r="K23" s="83">
        <f>VLOOKUP(C23,'Sales Master'!B$3:I$537,8,0)</f>
        <v>18</v>
      </c>
      <c r="L23" s="84">
        <f t="shared" si="1"/>
        <v>18</v>
      </c>
      <c r="N23" s="398"/>
      <c r="O23" s="398"/>
      <c r="P23" s="398"/>
    </row>
    <row r="24" spans="2:16" ht="20" customHeight="1" x14ac:dyDescent="0.45">
      <c r="B24" s="58">
        <v>520698</v>
      </c>
      <c r="C24" s="212" t="str">
        <f>VLOOKUP(B24,'Sales Master'!A$3:B$537,2,0)</f>
        <v>P3013A</v>
      </c>
      <c r="D24" s="487" t="str">
        <f>VLOOKUP(C24,'Sales Master'!B$3:D$537,2,)</f>
        <v>Black Glutinous Rice 黑糯米</v>
      </c>
      <c r="E24" s="487"/>
      <c r="F24" s="487"/>
      <c r="G24" s="76">
        <v>1</v>
      </c>
      <c r="H24" s="183" t="str">
        <f>VLOOKUP(C24,'Sales Master'!$B$3:$F$2420,5,0)</f>
        <v>5 KGS</v>
      </c>
      <c r="I24" s="513" t="str">
        <f>VLOOKUP(C24,'Sales Master'!$B$3:$E$2420,4,0)</f>
        <v>-</v>
      </c>
      <c r="J24" s="513"/>
      <c r="K24" s="83">
        <f>VLOOKUP(C24,'Sales Master'!B$3:I$537,8,0)</f>
        <v>18</v>
      </c>
      <c r="L24" s="84">
        <f t="shared" si="1"/>
        <v>18</v>
      </c>
      <c r="N24" s="145"/>
      <c r="O24" s="145"/>
      <c r="P24" s="145"/>
    </row>
    <row r="25" spans="2:16" ht="20" customHeight="1" x14ac:dyDescent="0.45">
      <c r="B25" s="58">
        <v>520732</v>
      </c>
      <c r="C25" s="212" t="str">
        <f>VLOOKUP(B25,'Sales Master'!A$3:B$537,2,0)</f>
        <v>P3016A</v>
      </c>
      <c r="D25" s="487" t="str">
        <f>VLOOKUP(C25,'Sales Master'!B$3:D$537,2,)</f>
        <v>Pearl Barley 薏米</v>
      </c>
      <c r="E25" s="487"/>
      <c r="F25" s="487"/>
      <c r="G25" s="76">
        <v>1</v>
      </c>
      <c r="H25" s="183" t="str">
        <f>VLOOKUP(C25,'Sales Master'!$B$3:$F$2420,5,0)</f>
        <v>5 KG</v>
      </c>
      <c r="I25" s="513" t="str">
        <f>VLOOKUP(C25,'Sales Master'!$B$3:$E$2420,4,0)</f>
        <v>-</v>
      </c>
      <c r="J25" s="513"/>
      <c r="K25" s="83">
        <f>VLOOKUP(C25,'Sales Master'!B$3:I$537,8,0)</f>
        <v>10</v>
      </c>
      <c r="L25" s="84">
        <f t="shared" ref="L25" si="2">K25*G25</f>
        <v>10</v>
      </c>
      <c r="N25" s="398"/>
      <c r="O25" s="398"/>
      <c r="P25" s="398"/>
    </row>
    <row r="26" spans="2:16" ht="20" customHeight="1" x14ac:dyDescent="0.45">
      <c r="B26" s="58">
        <v>520744</v>
      </c>
      <c r="C26" s="212" t="str">
        <f>VLOOKUP(B26,'Sales Master'!A$3:B$537,2,0)</f>
        <v>P3018A</v>
      </c>
      <c r="D26" s="487" t="str">
        <f>VLOOKUP(C26,'Sales Master'!B$3:D$537,2,)</f>
        <v>Small Sago 小丸</v>
      </c>
      <c r="E26" s="487"/>
      <c r="F26" s="487"/>
      <c r="G26" s="76">
        <v>1</v>
      </c>
      <c r="H26" s="183" t="str">
        <f>VLOOKUP(C26,'Sales Master'!$B$3:$F$2420,5,0)</f>
        <v>5 KG</v>
      </c>
      <c r="I26" s="513" t="str">
        <f>VLOOKUP(C26,'Sales Master'!$B$3:$E$2420,4,0)</f>
        <v>-</v>
      </c>
      <c r="J26" s="513"/>
      <c r="K26" s="83">
        <f>VLOOKUP(C26,'Sales Master'!B$3:I$537,8,0)</f>
        <v>11</v>
      </c>
      <c r="L26" s="84">
        <f>K26*G26</f>
        <v>11</v>
      </c>
      <c r="N26" s="398"/>
      <c r="O26" s="398"/>
      <c r="P26" s="398"/>
    </row>
    <row r="27" spans="2:16" ht="20" customHeight="1" x14ac:dyDescent="0.45">
      <c r="B27" s="58">
        <v>520745</v>
      </c>
      <c r="C27" s="212" t="str">
        <f>VLOOKUP(B27,'Sales Master'!A$3:B$537,2,0)</f>
        <v>P3044</v>
      </c>
      <c r="D27" s="487" t="str">
        <f>VLOOKUP(C27,'Sales Master'!B$3:D$537,2,)</f>
        <v>Sour Plum 酸梅(无子)</v>
      </c>
      <c r="E27" s="487"/>
      <c r="F27" s="487"/>
      <c r="G27" s="76">
        <v>1</v>
      </c>
      <c r="H27" s="183" t="str">
        <f>VLOOKUP(C27,'Sales Master'!$B$3:$F$2420,5,0)</f>
        <v>1 kg</v>
      </c>
      <c r="I27" s="513" t="str">
        <f>VLOOKUP(C27,'Sales Master'!$B$3:$E$2420,4,0)</f>
        <v>-</v>
      </c>
      <c r="J27" s="513"/>
      <c r="K27" s="83">
        <f>VLOOKUP(C27,'Sales Master'!B$3:I$537,8,0)</f>
        <v>19</v>
      </c>
      <c r="L27" s="84">
        <f>K27*G27</f>
        <v>19</v>
      </c>
      <c r="N27" s="398"/>
      <c r="O27" s="398"/>
      <c r="P27" s="398"/>
    </row>
    <row r="28" spans="2:16" ht="20" customHeight="1" x14ac:dyDescent="0.45">
      <c r="B28" s="58">
        <v>520742</v>
      </c>
      <c r="C28" s="212" t="str">
        <f>VLOOKUP(B28,'Sales Master'!A$3:B$537,2,0)</f>
        <v>P4003A</v>
      </c>
      <c r="D28" s="487" t="str">
        <f>VLOOKUP(C28,'Sales Master'!B$3:D$537,2,)</f>
        <v>Sea Coconut 海底椰</v>
      </c>
      <c r="E28" s="487"/>
      <c r="F28" s="487"/>
      <c r="G28" s="76">
        <v>2</v>
      </c>
      <c r="H28" s="183" t="str">
        <f>VLOOKUP(C28,'Sales Master'!$B$3:$F$2420,5,0)</f>
        <v>1 Can X A10</v>
      </c>
      <c r="I28" s="513" t="str">
        <f>VLOOKUP(C28,'Sales Master'!$B$3:$E$2420,4,0)</f>
        <v>Chefs</v>
      </c>
      <c r="J28" s="513"/>
      <c r="K28" s="83">
        <f>VLOOKUP(C28,'Sales Master'!B$3:I$537,8,0)</f>
        <v>19</v>
      </c>
      <c r="L28" s="84">
        <f>K28*G28</f>
        <v>38</v>
      </c>
      <c r="N28" s="398"/>
      <c r="O28" s="398"/>
      <c r="P28" s="398"/>
    </row>
    <row r="29" spans="2:16" ht="20" customHeight="1" x14ac:dyDescent="0.45">
      <c r="B29" s="58">
        <v>520711</v>
      </c>
      <c r="C29" s="212" t="str">
        <f>VLOOKUP(B29,'Sales Master'!A$3:B$537,2,0)</f>
        <v>P4014</v>
      </c>
      <c r="D29" s="487" t="str">
        <f>VLOOKUP(C29,'Sales Master'!B$3:D$537,2,)</f>
        <v>Cream Corn 玉米浆</v>
      </c>
      <c r="E29" s="487"/>
      <c r="F29" s="487"/>
      <c r="G29" s="76">
        <v>1</v>
      </c>
      <c r="H29" s="183" t="str">
        <f>VLOOKUP(C29,'Sales Master'!$B$3:$F$2420,5,0)</f>
        <v>410 GM x 24/ Ctn箱</v>
      </c>
      <c r="I29" s="513" t="str">
        <f>VLOOKUP(C29,'Sales Master'!$B$3:$E$2420,4,0)</f>
        <v>Statue</v>
      </c>
      <c r="J29" s="513"/>
      <c r="K29" s="83">
        <f>VLOOKUP(C29,'Sales Master'!B$3:I$537,8,0)</f>
        <v>23</v>
      </c>
      <c r="L29" s="84">
        <f t="shared" ref="L29" si="3">K29*G29</f>
        <v>23</v>
      </c>
      <c r="N29" s="398"/>
      <c r="O29" s="398"/>
      <c r="P29" s="398"/>
    </row>
    <row r="30" spans="2:16" ht="20.149999999999999" customHeight="1" x14ac:dyDescent="0.45">
      <c r="B30" s="58">
        <v>520700</v>
      </c>
      <c r="C30" s="212" t="str">
        <f>VLOOKUP(B30,'Sales Master'!A$3:B$537,2,0)</f>
        <v>P5002A</v>
      </c>
      <c r="D30" s="487" t="str">
        <f>VLOOKUP(C30,'Sales Master'!B$3:D$537,2,)</f>
        <v>Brown Sugar 黑糖</v>
      </c>
      <c r="E30" s="487"/>
      <c r="F30" s="487"/>
      <c r="G30" s="76">
        <v>1</v>
      </c>
      <c r="H30" s="183" t="str">
        <f>VLOOKUP(C30,'Sales Master'!$B$3:$F$2420,5,0)</f>
        <v>6 KG</v>
      </c>
      <c r="I30" s="513" t="str">
        <f>VLOOKUP(C30,'Sales Master'!$B$3:$E$2420,4,0)</f>
        <v>Star</v>
      </c>
      <c r="J30" s="513"/>
      <c r="K30" s="83">
        <f>VLOOKUP(C30,'Sales Master'!B$3:I$537,8,0)</f>
        <v>17</v>
      </c>
      <c r="L30" s="84">
        <f t="shared" ref="L30" si="4">K30*G30</f>
        <v>17</v>
      </c>
      <c r="N30" s="145"/>
      <c r="O30" s="145"/>
      <c r="P30" s="145"/>
    </row>
    <row r="31" spans="2:16" ht="20.149999999999999" customHeight="1" x14ac:dyDescent="0.45">
      <c r="B31" s="58">
        <v>520792</v>
      </c>
      <c r="C31" s="212" t="str">
        <f>VLOOKUP(B31,'Sales Master'!A$3:B$537,2,0)</f>
        <v>P6014</v>
      </c>
      <c r="D31" s="487" t="str">
        <f>VLOOKUP(C31,'Sales Master'!B$3:D$537,2,)</f>
        <v>Yu Tiao 油条</v>
      </c>
      <c r="E31" s="487"/>
      <c r="F31" s="487"/>
      <c r="G31" s="76">
        <v>2</v>
      </c>
      <c r="H31" s="183" t="str">
        <f>VLOOKUP(C31,'Sales Master'!$B$3:$F$2420,5,0)</f>
        <v>10 PCS/PKT</v>
      </c>
      <c r="I31" s="513" t="str">
        <f>VLOOKUP(C31,'Sales Master'!$B$3:$E$2420,4,0)</f>
        <v>-</v>
      </c>
      <c r="J31" s="513"/>
      <c r="K31" s="83">
        <f>VLOOKUP(C31,'Sales Master'!B$3:I$537,8,0)</f>
        <v>5.5</v>
      </c>
      <c r="L31" s="84">
        <f t="shared" ref="L31" si="5">K31*G31</f>
        <v>11</v>
      </c>
      <c r="N31" s="145"/>
      <c r="O31" s="145"/>
      <c r="P31" s="145"/>
    </row>
    <row r="32" spans="2:16" ht="20.149999999999999" customHeight="1" x14ac:dyDescent="0.45">
      <c r="B32" s="29"/>
      <c r="C32" s="212"/>
      <c r="D32" s="487"/>
      <c r="E32" s="487"/>
      <c r="F32" s="487"/>
      <c r="G32" s="76"/>
      <c r="H32" s="183"/>
      <c r="I32" s="513"/>
      <c r="J32" s="513"/>
      <c r="K32" s="83"/>
      <c r="L32" s="84"/>
      <c r="N32" s="145"/>
      <c r="O32" s="145"/>
      <c r="P32" s="145"/>
    </row>
    <row r="33" spans="2:16" ht="20" customHeight="1" x14ac:dyDescent="0.45">
      <c r="B33" s="29"/>
      <c r="C33" s="212"/>
      <c r="G33" s="76"/>
      <c r="H33" s="183"/>
      <c r="I33" s="209"/>
      <c r="J33" s="209"/>
      <c r="K33" s="83"/>
      <c r="L33" s="84"/>
      <c r="N33" s="145"/>
      <c r="O33" s="145"/>
      <c r="P33" s="145"/>
    </row>
    <row r="34" spans="2:16" ht="20" customHeight="1" x14ac:dyDescent="0.45">
      <c r="B34" s="29"/>
      <c r="C34" s="212"/>
      <c r="G34" s="76"/>
      <c r="H34" s="183"/>
      <c r="I34" s="209"/>
      <c r="J34" s="209"/>
      <c r="K34" s="83"/>
      <c r="L34" s="84"/>
      <c r="N34" s="145"/>
      <c r="O34" s="145"/>
      <c r="P34" s="145"/>
    </row>
    <row r="35" spans="2:16" ht="20.149999999999999" customHeight="1" x14ac:dyDescent="0.45">
      <c r="B35" s="104"/>
      <c r="C35" s="105"/>
      <c r="D35" s="514"/>
      <c r="E35" s="514"/>
      <c r="F35" s="514"/>
      <c r="G35" s="105"/>
      <c r="H35" s="105"/>
      <c r="I35" s="124"/>
      <c r="J35" s="124"/>
      <c r="K35" s="108"/>
      <c r="L35" s="125"/>
    </row>
    <row r="36" spans="2:16" ht="20.149999999999999" customHeight="1" thickBot="1" x14ac:dyDescent="0.5">
      <c r="B36" s="36"/>
      <c r="L36" s="37"/>
    </row>
    <row r="37" spans="2:16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89" t="s">
        <v>13</v>
      </c>
      <c r="K37" s="490"/>
      <c r="L37" s="38">
        <f>SUM(L18:L35)</f>
        <v>249.5</v>
      </c>
      <c r="M37" s="63"/>
      <c r="N37" s="133">
        <f>M37/L37</f>
        <v>0</v>
      </c>
    </row>
    <row r="38" spans="2:16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6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91" t="s">
        <v>19</v>
      </c>
      <c r="K39" s="492"/>
      <c r="L39" s="41">
        <f>L37-L38</f>
        <v>249.5</v>
      </c>
    </row>
    <row r="40" spans="2:16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22.454999999999998</v>
      </c>
    </row>
    <row r="41" spans="2:16" ht="20.149999999999999" customHeight="1" thickBot="1" x14ac:dyDescent="0.5">
      <c r="B41" s="10" t="s">
        <v>676</v>
      </c>
      <c r="C41" s="6"/>
      <c r="D41" s="6"/>
      <c r="E41" s="6"/>
      <c r="F41" s="6"/>
      <c r="G41" s="6"/>
      <c r="H41" s="6"/>
      <c r="I41" s="6"/>
      <c r="J41" s="485" t="s">
        <v>21</v>
      </c>
      <c r="K41" s="486"/>
      <c r="L41" s="43">
        <f>L39+L40</f>
        <v>271.95499999999998</v>
      </c>
    </row>
    <row r="42" spans="2:16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6" ht="20.149999999999999" customHeight="1" x14ac:dyDescent="0.45">
      <c r="B43" s="144" t="s">
        <v>666</v>
      </c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36"/>
      <c r="L46" s="37"/>
    </row>
    <row r="47" spans="2:16" ht="20.149999999999999" customHeight="1" x14ac:dyDescent="0.45">
      <c r="B47" s="44"/>
      <c r="C47" s="45"/>
      <c r="D47" s="45"/>
      <c r="J47" s="45"/>
      <c r="K47" s="45"/>
      <c r="L47" s="46"/>
    </row>
    <row r="48" spans="2:16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  <row r="50" spans="2:12" ht="20.5" x14ac:dyDescent="0.45">
      <c r="F50" s="202"/>
    </row>
  </sheetData>
  <mergeCells count="50">
    <mergeCell ref="D31:F31"/>
    <mergeCell ref="I31:J31"/>
    <mergeCell ref="I30:J30"/>
    <mergeCell ref="D30:F30"/>
    <mergeCell ref="O15:Q15"/>
    <mergeCell ref="D17:F17"/>
    <mergeCell ref="I17:J17"/>
    <mergeCell ref="K15:L15"/>
    <mergeCell ref="I18:J18"/>
    <mergeCell ref="I24:J24"/>
    <mergeCell ref="D18:F18"/>
    <mergeCell ref="D24:F24"/>
    <mergeCell ref="D25:F25"/>
    <mergeCell ref="I25:J25"/>
    <mergeCell ref="I29:J29"/>
    <mergeCell ref="D29:F29"/>
    <mergeCell ref="J41:K41"/>
    <mergeCell ref="J37:K37"/>
    <mergeCell ref="J39:K39"/>
    <mergeCell ref="D35:F35"/>
    <mergeCell ref="D32:F32"/>
    <mergeCell ref="I32:J3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23:F23"/>
    <mergeCell ref="I19:J19"/>
    <mergeCell ref="I22:J22"/>
    <mergeCell ref="I28:J28"/>
    <mergeCell ref="I26:J26"/>
    <mergeCell ref="I27:J27"/>
    <mergeCell ref="I23:J23"/>
    <mergeCell ref="D19:F19"/>
    <mergeCell ref="D22:F22"/>
    <mergeCell ref="D28:F28"/>
    <mergeCell ref="D26:F26"/>
    <mergeCell ref="D27:F27"/>
    <mergeCell ref="D20:F20"/>
    <mergeCell ref="I20:J20"/>
    <mergeCell ref="D21:F21"/>
    <mergeCell ref="I21:J21"/>
  </mergeCells>
  <conditionalFormatting sqref="C18:C31">
    <cfRule type="duplicateValues" dxfId="56" priority="1"/>
  </conditionalFormatting>
  <conditionalFormatting sqref="N15">
    <cfRule type="duplicateValues" dxfId="55" priority="9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AF2AE-8311-4E0E-9C16-962C29A4464B}">
  <sheetPr>
    <tabColor rgb="FFFFC000"/>
    <pageSetUpPr fitToPage="1"/>
  </sheetPr>
  <dimension ref="B1:Q46"/>
  <sheetViews>
    <sheetView topLeftCell="A21" zoomScaleNormal="100" workbookViewId="0">
      <selection activeCell="M8" sqref="M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453125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7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7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7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7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7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7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7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7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7" ht="19" thickBot="1" x14ac:dyDescent="0.5">
      <c r="B9" s="18"/>
    </row>
    <row r="10" spans="2:17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1445</v>
      </c>
      <c r="J10" s="24" t="s">
        <v>27</v>
      </c>
      <c r="K10" s="464">
        <v>202504251</v>
      </c>
      <c r="L10" s="465"/>
    </row>
    <row r="11" spans="2:17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 xml:space="preserve">FOOD REPUBLIC PTE LTD                             Vivo City @Ice Shop #16                               1, Harbourfront Walk #03-01, VivoCity   Singapore 098585                           </v>
      </c>
      <c r="G11" s="470"/>
      <c r="H11" s="471"/>
      <c r="J11" s="26" t="s">
        <v>9</v>
      </c>
      <c r="K11" s="478">
        <v>45757</v>
      </c>
      <c r="L11" s="479"/>
    </row>
    <row r="12" spans="2:17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>
        <v>4500364009</v>
      </c>
      <c r="L12" s="483"/>
    </row>
    <row r="13" spans="2:17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7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  <c r="N14" s="19" t="s">
        <v>1680</v>
      </c>
      <c r="O14" s="19" t="s">
        <v>1723</v>
      </c>
    </row>
    <row r="15" spans="2:17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  <c r="N15" s="17" t="s">
        <v>1158</v>
      </c>
      <c r="O15" s="487" t="e">
        <f>VLOOKUP(N15,'Sales Master'!M$3:O$537,2,)</f>
        <v>#N/A</v>
      </c>
      <c r="P15" s="487"/>
      <c r="Q15" s="487"/>
    </row>
    <row r="16" spans="2:17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417"/>
      <c r="O17" s="417"/>
      <c r="P17" s="417"/>
    </row>
    <row r="18" spans="2:16" ht="20.149999999999999" customHeight="1" x14ac:dyDescent="0.45">
      <c r="B18" s="58">
        <v>520695</v>
      </c>
      <c r="C18" s="212" t="str">
        <f>VLOOKUP(B18,'Sales Master'!A$3:B$537,2,0)</f>
        <v>P3001B</v>
      </c>
      <c r="D18" s="487" t="str">
        <f>VLOOKUP(C18,'Sales Master'!B$3:D$537,2,)</f>
        <v>Atap Seeds in Syrup 亚嗒子</v>
      </c>
      <c r="E18" s="487"/>
      <c r="F18" s="487"/>
      <c r="G18" s="76">
        <v>3</v>
      </c>
      <c r="H18" s="183" t="str">
        <f>VLOOKUP(C18,'Sales Master'!$B$3:$F$2420,5,0)</f>
        <v>NW(1.6:0.6) 2.2kg/ Bag包</v>
      </c>
      <c r="I18" s="513" t="str">
        <f>VLOOKUP(C18,'Sales Master'!$B$3:$E$2420,4,0)</f>
        <v>DO!</v>
      </c>
      <c r="J18" s="513"/>
      <c r="K18" s="83">
        <f>VLOOKUP(C18,'Sales Master'!B$3:I$537,8,0)</f>
        <v>10</v>
      </c>
      <c r="L18" s="84">
        <f t="shared" ref="L18" si="0">K18*G18</f>
        <v>30</v>
      </c>
      <c r="N18" s="145"/>
      <c r="O18" s="145"/>
      <c r="P18" s="145"/>
    </row>
    <row r="19" spans="2:16" ht="20" customHeight="1" x14ac:dyDescent="0.45">
      <c r="B19" s="58"/>
      <c r="C19" s="212"/>
      <c r="D19" s="498"/>
      <c r="E19" s="498"/>
      <c r="F19" s="498"/>
      <c r="G19" s="76"/>
      <c r="H19" s="183"/>
      <c r="I19" s="513"/>
      <c r="J19" s="513"/>
      <c r="K19" s="83"/>
      <c r="L19" s="84"/>
      <c r="N19" s="398"/>
      <c r="O19" s="398"/>
      <c r="P19" s="398"/>
    </row>
    <row r="20" spans="2:16" ht="20" customHeight="1" x14ac:dyDescent="0.45">
      <c r="B20" s="58"/>
      <c r="C20" s="212"/>
      <c r="D20" s="487"/>
      <c r="E20" s="487"/>
      <c r="F20" s="487"/>
      <c r="G20" s="76"/>
      <c r="H20" s="183"/>
      <c r="I20" s="513"/>
      <c r="J20" s="513"/>
      <c r="K20" s="83"/>
      <c r="L20" s="84"/>
      <c r="N20" s="398"/>
      <c r="O20" s="398"/>
      <c r="P20" s="398"/>
    </row>
    <row r="21" spans="2:16" ht="20.149999999999999" customHeight="1" x14ac:dyDescent="0.45">
      <c r="B21" s="58"/>
      <c r="C21" s="212"/>
      <c r="D21" s="487"/>
      <c r="E21" s="487"/>
      <c r="F21" s="487"/>
      <c r="G21" s="76"/>
      <c r="H21" s="183"/>
      <c r="I21" s="513"/>
      <c r="J21" s="513"/>
      <c r="K21" s="83"/>
      <c r="L21" s="84"/>
      <c r="N21" s="145"/>
      <c r="O21" s="145"/>
      <c r="P21" s="145"/>
    </row>
    <row r="22" spans="2:16" ht="20" customHeight="1" x14ac:dyDescent="0.45">
      <c r="B22" s="58"/>
      <c r="C22" s="212"/>
      <c r="D22" s="487"/>
      <c r="E22" s="487"/>
      <c r="F22" s="487"/>
      <c r="G22" s="76"/>
      <c r="H22" s="183"/>
      <c r="I22" s="513"/>
      <c r="J22" s="513"/>
      <c r="K22" s="83"/>
      <c r="L22" s="84"/>
      <c r="N22" s="398"/>
      <c r="O22" s="398"/>
      <c r="P22" s="398"/>
    </row>
    <row r="23" spans="2:16" ht="20" customHeight="1" x14ac:dyDescent="0.45">
      <c r="B23" s="58"/>
      <c r="C23" s="212"/>
      <c r="D23" s="487"/>
      <c r="E23" s="487"/>
      <c r="F23" s="487"/>
      <c r="G23" s="76"/>
      <c r="H23" s="183"/>
      <c r="I23" s="513"/>
      <c r="J23" s="513"/>
      <c r="K23" s="83"/>
      <c r="L23" s="84"/>
      <c r="N23" s="398"/>
      <c r="O23" s="398"/>
      <c r="P23" s="398"/>
    </row>
    <row r="24" spans="2:16" ht="20" customHeight="1" x14ac:dyDescent="0.45">
      <c r="B24" s="58"/>
      <c r="C24" s="212"/>
      <c r="D24" s="487"/>
      <c r="E24" s="487"/>
      <c r="F24" s="487"/>
      <c r="G24" s="76"/>
      <c r="H24" s="183"/>
      <c r="I24" s="513"/>
      <c r="J24" s="513"/>
      <c r="K24" s="83"/>
      <c r="L24" s="84"/>
      <c r="N24" s="398"/>
      <c r="O24" s="398"/>
      <c r="P24" s="398"/>
    </row>
    <row r="25" spans="2:16" ht="20" customHeight="1" x14ac:dyDescent="0.45">
      <c r="B25" s="58"/>
      <c r="C25" s="212"/>
      <c r="D25" s="487"/>
      <c r="E25" s="487"/>
      <c r="F25" s="487"/>
      <c r="G25" s="76"/>
      <c r="H25" s="183"/>
      <c r="I25" s="513"/>
      <c r="J25" s="513"/>
      <c r="K25" s="83"/>
      <c r="L25" s="84"/>
      <c r="N25" s="398"/>
      <c r="O25" s="398"/>
      <c r="P25" s="398"/>
    </row>
    <row r="26" spans="2:16" ht="20.149999999999999" customHeight="1" x14ac:dyDescent="0.45">
      <c r="B26" s="58"/>
      <c r="C26" s="212"/>
      <c r="D26" s="487"/>
      <c r="E26" s="487"/>
      <c r="F26" s="487"/>
      <c r="G26" s="76"/>
      <c r="H26" s="183"/>
      <c r="I26" s="513"/>
      <c r="J26" s="513"/>
      <c r="K26" s="83"/>
      <c r="L26" s="84"/>
      <c r="N26" s="145"/>
      <c r="O26" s="145"/>
      <c r="P26" s="145"/>
    </row>
    <row r="27" spans="2:16" ht="20.149999999999999" customHeight="1" x14ac:dyDescent="0.45">
      <c r="B27" s="58"/>
      <c r="C27" s="212"/>
      <c r="D27" s="487"/>
      <c r="E27" s="487"/>
      <c r="F27" s="487"/>
      <c r="G27" s="76"/>
      <c r="H27" s="183"/>
      <c r="I27" s="513"/>
      <c r="J27" s="513"/>
      <c r="K27" s="83"/>
      <c r="L27" s="84"/>
      <c r="N27" s="145"/>
      <c r="O27" s="145"/>
      <c r="P27" s="145"/>
    </row>
    <row r="28" spans="2:16" ht="20.149999999999999" customHeight="1" x14ac:dyDescent="0.45">
      <c r="B28" s="29"/>
      <c r="C28" s="212"/>
      <c r="D28" s="487"/>
      <c r="E28" s="487"/>
      <c r="F28" s="487"/>
      <c r="G28" s="76"/>
      <c r="H28" s="183"/>
      <c r="I28" s="513"/>
      <c r="J28" s="513"/>
      <c r="K28" s="83"/>
      <c r="L28" s="84"/>
      <c r="N28" s="145"/>
      <c r="O28" s="145"/>
      <c r="P28" s="145"/>
    </row>
    <row r="29" spans="2:16" ht="20" customHeight="1" x14ac:dyDescent="0.45">
      <c r="B29" s="29"/>
      <c r="C29" s="212"/>
      <c r="G29" s="76"/>
      <c r="H29" s="183"/>
      <c r="I29" s="209"/>
      <c r="J29" s="209"/>
      <c r="K29" s="83"/>
      <c r="L29" s="84"/>
      <c r="N29" s="145"/>
      <c r="O29" s="145"/>
      <c r="P29" s="145"/>
    </row>
    <row r="30" spans="2:16" ht="20" customHeight="1" x14ac:dyDescent="0.45">
      <c r="B30" s="29"/>
      <c r="C30" s="212"/>
      <c r="G30" s="76"/>
      <c r="H30" s="183"/>
      <c r="I30" s="209"/>
      <c r="J30" s="209"/>
      <c r="K30" s="83"/>
      <c r="L30" s="84"/>
      <c r="N30" s="145"/>
      <c r="O30" s="145"/>
      <c r="P30" s="145"/>
    </row>
    <row r="31" spans="2:16" ht="20.149999999999999" customHeight="1" x14ac:dyDescent="0.45">
      <c r="B31" s="104"/>
      <c r="C31" s="105"/>
      <c r="D31" s="514"/>
      <c r="E31" s="514"/>
      <c r="F31" s="514"/>
      <c r="G31" s="105"/>
      <c r="H31" s="105"/>
      <c r="I31" s="124"/>
      <c r="J31" s="124"/>
      <c r="K31" s="108"/>
      <c r="L31" s="125"/>
    </row>
    <row r="32" spans="2:16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89" t="s">
        <v>13</v>
      </c>
      <c r="K33" s="490"/>
      <c r="L33" s="38">
        <f>SUM(L18:L31)</f>
        <v>30</v>
      </c>
      <c r="M33" s="63"/>
      <c r="N33" s="133">
        <f>M33/L33</f>
        <v>0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91" t="s">
        <v>19</v>
      </c>
      <c r="K35" s="492"/>
      <c r="L35" s="41">
        <f>L33-L34</f>
        <v>30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2.6999999999999997</v>
      </c>
    </row>
    <row r="37" spans="2:14" ht="20.149999999999999" customHeight="1" thickBot="1" x14ac:dyDescent="0.5">
      <c r="B37" s="10" t="s">
        <v>676</v>
      </c>
      <c r="C37" s="6"/>
      <c r="D37" s="6"/>
      <c r="E37" s="6"/>
      <c r="F37" s="6"/>
      <c r="G37" s="6"/>
      <c r="H37" s="6"/>
      <c r="I37" s="6"/>
      <c r="J37" s="485" t="s">
        <v>21</v>
      </c>
      <c r="K37" s="486"/>
      <c r="L37" s="43">
        <f>L35+L36</f>
        <v>32.700000000000003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144" t="s">
        <v>666</v>
      </c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  <row r="46" spans="2:14" ht="20.5" x14ac:dyDescent="0.45">
      <c r="F46" s="202"/>
    </row>
  </sheetData>
  <mergeCells count="4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O15:Q15"/>
    <mergeCell ref="D17:F17"/>
    <mergeCell ref="I17:J17"/>
    <mergeCell ref="D22:F22"/>
    <mergeCell ref="I22:J22"/>
    <mergeCell ref="D21:F21"/>
    <mergeCell ref="I21:J21"/>
    <mergeCell ref="D18:F18"/>
    <mergeCell ref="I18:J18"/>
    <mergeCell ref="D19:F19"/>
    <mergeCell ref="I19:J19"/>
    <mergeCell ref="D20:F20"/>
    <mergeCell ref="I20:J20"/>
    <mergeCell ref="D23:F23"/>
    <mergeCell ref="I23:J23"/>
    <mergeCell ref="D24:F24"/>
    <mergeCell ref="I24:J24"/>
    <mergeCell ref="D25:F25"/>
    <mergeCell ref="I25:J25"/>
    <mergeCell ref="D31:F31"/>
    <mergeCell ref="J33:K33"/>
    <mergeCell ref="J35:K35"/>
    <mergeCell ref="J37:K37"/>
    <mergeCell ref="D26:F26"/>
    <mergeCell ref="I26:J26"/>
    <mergeCell ref="D27:F27"/>
    <mergeCell ref="I27:J27"/>
    <mergeCell ref="D28:F28"/>
    <mergeCell ref="I28:J28"/>
  </mergeCells>
  <conditionalFormatting sqref="C18:C27">
    <cfRule type="duplicateValues" dxfId="54" priority="2758"/>
  </conditionalFormatting>
  <conditionalFormatting sqref="N15">
    <cfRule type="duplicateValues" dxfId="53" priority="2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58F4C-6B8D-4FFD-89D1-6F2FE1FDE6E1}">
  <sheetPr codeName="Sheet66">
    <tabColor rgb="FFFFC000"/>
    <pageSetUpPr fitToPage="1"/>
  </sheetPr>
  <dimension ref="B1:V43"/>
  <sheetViews>
    <sheetView zoomScaleNormal="100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7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7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7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7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7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7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7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7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7" ht="19" thickBot="1" x14ac:dyDescent="0.5">
      <c r="B9" s="18"/>
    </row>
    <row r="10" spans="2:17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1446</v>
      </c>
      <c r="J10" s="24" t="s">
        <v>27</v>
      </c>
      <c r="K10" s="464">
        <v>202412153</v>
      </c>
      <c r="L10" s="465"/>
    </row>
    <row r="11" spans="2:17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 xml:space="preserve">FOOD REPUBLIC PTE LTD                             Vivo City @Drink Stall #16A                        1, Harbourfront Walk #03-01, VivoCity   Singapore 098585                           </v>
      </c>
      <c r="G11" s="470"/>
      <c r="H11" s="471"/>
      <c r="J11" s="26" t="s">
        <v>9</v>
      </c>
      <c r="K11" s="478">
        <v>45633</v>
      </c>
      <c r="L11" s="479"/>
    </row>
    <row r="12" spans="2:17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7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7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  <c r="N14" s="19" t="s">
        <v>1427</v>
      </c>
    </row>
    <row r="15" spans="2:17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  <c r="N15" s="17" t="s">
        <v>1158</v>
      </c>
      <c r="O15" s="487" t="e">
        <f>VLOOKUP(N15,'Sales Master'!M$3:O$537,2,)</f>
        <v>#N/A</v>
      </c>
      <c r="P15" s="487"/>
      <c r="Q15" s="487"/>
    </row>
    <row r="16" spans="2:17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/>
      <c r="C18" s="212" t="s">
        <v>846</v>
      </c>
      <c r="D18" s="487" t="str">
        <f>VLOOKUP(C18,'Sales Master'!B$3:D$537,2,)</f>
        <v>Pearl Barley 薏米</v>
      </c>
      <c r="E18" s="487"/>
      <c r="F18" s="487"/>
      <c r="G18" s="76">
        <v>2</v>
      </c>
      <c r="H18" s="183" t="str">
        <f>VLOOKUP(C18,'Sales Master'!$B$3:$F$2420,5,0)</f>
        <v>5 KG</v>
      </c>
      <c r="I18" s="513" t="str">
        <f>VLOOKUP(C18,'Sales Master'!$B$3:$E$2420,4,0)</f>
        <v>-</v>
      </c>
      <c r="J18" s="513"/>
      <c r="K18" s="83">
        <f>VLOOKUP(C18,'Sales Master'!B$3:I$537,8,0)</f>
        <v>10</v>
      </c>
      <c r="L18" s="84">
        <f>K18*G18</f>
        <v>20</v>
      </c>
      <c r="N18" s="145">
        <f>VLOOKUP(C18,'Sales Master'!$B$3:$DA$2279,104,0)</f>
        <v>7.6</v>
      </c>
      <c r="O18" s="145">
        <f>K18-N18</f>
        <v>2.4000000000000004</v>
      </c>
      <c r="P18" s="145">
        <f>O18*G18</f>
        <v>4.8000000000000007</v>
      </c>
      <c r="Q18" s="170"/>
      <c r="R18" s="93">
        <v>1</v>
      </c>
      <c r="S18" s="93" t="s">
        <v>200</v>
      </c>
      <c r="T18" s="93" t="s">
        <v>429</v>
      </c>
      <c r="U18" s="93"/>
      <c r="V18" s="93">
        <v>32</v>
      </c>
    </row>
    <row r="19" spans="2:22" ht="20.149999999999999" customHeight="1" x14ac:dyDescent="0.45">
      <c r="B19" s="29"/>
      <c r="C19" s="212" t="s">
        <v>892</v>
      </c>
      <c r="D19" s="487" t="str">
        <f>VLOOKUP(C19,'Sales Master'!B$3:D$537,2,)</f>
        <v>Sour Plum 酸梅(无子)</v>
      </c>
      <c r="E19" s="487"/>
      <c r="F19" s="487"/>
      <c r="G19" s="76">
        <v>1</v>
      </c>
      <c r="H19" s="183" t="str">
        <f>VLOOKUP(C19,'Sales Master'!$B$3:$F$2420,5,0)</f>
        <v>1 kg</v>
      </c>
      <c r="I19" s="513" t="str">
        <f>VLOOKUP(C19,'Sales Master'!$B$3:$E$2420,4,0)</f>
        <v>-</v>
      </c>
      <c r="J19" s="513"/>
      <c r="K19" s="83">
        <f>VLOOKUP(C19,'Sales Master'!B$3:I$537,8,0)</f>
        <v>19</v>
      </c>
      <c r="L19" s="84">
        <f t="shared" ref="L19" si="0">K19*G19</f>
        <v>19</v>
      </c>
      <c r="N19" s="145">
        <f>VLOOKUP(C19,'Sales Master'!$B$3:$DA$2279,104,0)</f>
        <v>14.533333333333333</v>
      </c>
      <c r="O19" s="145">
        <f t="shared" ref="O19" si="1">K19-N19</f>
        <v>4.4666666666666668</v>
      </c>
      <c r="P19" s="145">
        <f t="shared" ref="P19" si="2">O19*G19</f>
        <v>4.4666666666666668</v>
      </c>
      <c r="Q19" s="170"/>
      <c r="R19" s="93"/>
      <c r="S19" s="93"/>
      <c r="T19" s="93"/>
    </row>
    <row r="20" spans="2:22" ht="20.149999999999999" customHeight="1" x14ac:dyDescent="0.45">
      <c r="B20" s="58"/>
      <c r="C20" s="212"/>
      <c r="D20" s="487"/>
      <c r="E20" s="487"/>
      <c r="F20" s="487"/>
      <c r="G20" s="76"/>
      <c r="H20" s="183"/>
      <c r="I20" s="513"/>
      <c r="J20" s="513"/>
      <c r="K20" s="83"/>
      <c r="L20" s="84"/>
      <c r="N20" s="145"/>
      <c r="O20" s="145"/>
      <c r="P20" s="145"/>
      <c r="Q20" s="170"/>
      <c r="R20" s="93"/>
      <c r="S20" s="93"/>
      <c r="T20" s="93"/>
      <c r="U20" s="93"/>
      <c r="V20" s="93"/>
    </row>
    <row r="21" spans="2:22" ht="20.149999999999999" customHeight="1" x14ac:dyDescent="0.45">
      <c r="B21" s="29"/>
      <c r="C21" s="212"/>
      <c r="D21" s="487"/>
      <c r="E21" s="487"/>
      <c r="F21" s="487"/>
      <c r="G21" s="76"/>
      <c r="H21" s="183"/>
      <c r="I21" s="513"/>
      <c r="J21" s="513"/>
      <c r="K21" s="83"/>
      <c r="L21" s="84"/>
      <c r="N21" s="145"/>
      <c r="O21" s="145"/>
      <c r="P21" s="145"/>
    </row>
    <row r="22" spans="2:22" ht="20.149999999999999" customHeight="1" x14ac:dyDescent="0.45">
      <c r="B22" s="29"/>
      <c r="C22" s="17"/>
      <c r="D22" s="487"/>
      <c r="E22" s="487"/>
      <c r="F22" s="487"/>
      <c r="G22" s="76"/>
      <c r="H22" s="56"/>
      <c r="I22" s="494"/>
      <c r="J22" s="494"/>
      <c r="K22" s="30"/>
      <c r="L22" s="31"/>
    </row>
    <row r="23" spans="2:22" ht="20.149999999999999" customHeight="1" x14ac:dyDescent="0.45">
      <c r="B23" s="29"/>
      <c r="C23" s="17"/>
      <c r="G23" s="76"/>
      <c r="H23" s="56"/>
      <c r="I23" s="56"/>
      <c r="J23" s="56"/>
      <c r="K23" s="30"/>
      <c r="L23" s="31"/>
    </row>
    <row r="24" spans="2:22" ht="20.149999999999999" customHeight="1" x14ac:dyDescent="0.45">
      <c r="B24" s="29"/>
      <c r="C24" s="17"/>
      <c r="G24" s="76"/>
      <c r="H24" s="56"/>
      <c r="I24" s="56"/>
      <c r="J24" s="56"/>
      <c r="K24" s="30"/>
      <c r="L24" s="31"/>
    </row>
    <row r="25" spans="2:22" ht="20.149999999999999" customHeight="1" x14ac:dyDescent="0.45">
      <c r="B25" s="29"/>
      <c r="C25" s="17"/>
      <c r="G25" s="76"/>
      <c r="H25" s="56"/>
      <c r="I25" s="56"/>
      <c r="J25" s="56"/>
      <c r="K25" s="30"/>
      <c r="L25" s="31"/>
    </row>
    <row r="26" spans="2:22" ht="20.149999999999999" customHeight="1" x14ac:dyDescent="0.45">
      <c r="B26" s="29"/>
      <c r="C26" s="17"/>
      <c r="D26" s="487"/>
      <c r="E26" s="487"/>
      <c r="F26" s="487"/>
      <c r="G26" s="76"/>
      <c r="H26" s="56"/>
      <c r="I26" s="494"/>
      <c r="J26" s="494"/>
      <c r="K26" s="30"/>
      <c r="L26" s="31"/>
    </row>
    <row r="27" spans="2:22" ht="20.149999999999999" customHeight="1" x14ac:dyDescent="0.45">
      <c r="B27" s="29"/>
      <c r="C27" s="17"/>
      <c r="G27" s="76"/>
      <c r="H27" s="56"/>
      <c r="I27" s="56"/>
      <c r="J27" s="56"/>
      <c r="K27" s="30"/>
      <c r="L27" s="31"/>
    </row>
    <row r="28" spans="2:22" ht="20.149999999999999" customHeight="1" x14ac:dyDescent="0.45">
      <c r="B28" s="104"/>
      <c r="C28" s="105"/>
      <c r="D28" s="514"/>
      <c r="E28" s="514"/>
      <c r="F28" s="514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SUM(L18:L29)</f>
        <v>39</v>
      </c>
      <c r="M30" s="63">
        <f>SUM(P18:P28)</f>
        <v>9.2666666666666675</v>
      </c>
      <c r="N30" s="133">
        <f>M30/L30</f>
        <v>0.23760683760683762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39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3.51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42.51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666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20.5" x14ac:dyDescent="0.45">
      <c r="F43" s="202"/>
    </row>
  </sheetData>
  <mergeCells count="32">
    <mergeCell ref="D20:F20"/>
    <mergeCell ref="I20:J20"/>
    <mergeCell ref="D22:F22"/>
    <mergeCell ref="I22:J22"/>
    <mergeCell ref="D19:F19"/>
    <mergeCell ref="I19:J19"/>
    <mergeCell ref="D21:F21"/>
    <mergeCell ref="I21:J21"/>
    <mergeCell ref="J34:K34"/>
    <mergeCell ref="D26:F26"/>
    <mergeCell ref="I26:J26"/>
    <mergeCell ref="D28:F28"/>
    <mergeCell ref="J30:K30"/>
    <mergeCell ref="J32:K32"/>
    <mergeCell ref="O15:Q15"/>
    <mergeCell ref="D17:F17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52" priority="1"/>
  </conditionalFormatting>
  <conditionalFormatting sqref="C19">
    <cfRule type="duplicateValues" dxfId="51" priority="2"/>
  </conditionalFormatting>
  <conditionalFormatting sqref="C20">
    <cfRule type="duplicateValues" dxfId="50" priority="3"/>
  </conditionalFormatting>
  <conditionalFormatting sqref="C21">
    <cfRule type="duplicateValues" dxfId="49" priority="14"/>
  </conditionalFormatting>
  <conditionalFormatting sqref="N15">
    <cfRule type="duplicateValues" dxfId="48" priority="9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1BA39-F6D4-476C-BF97-D2E9D519ECDF}">
  <sheetPr codeName="Sheet57">
    <tabColor theme="7"/>
    <pageSetUpPr fitToPage="1"/>
  </sheetPr>
  <dimension ref="B1:O50"/>
  <sheetViews>
    <sheetView topLeftCell="A9"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1460</v>
      </c>
      <c r="J10" s="24" t="s">
        <v>27</v>
      </c>
      <c r="K10" s="502">
        <v>202504282</v>
      </c>
      <c r="L10" s="503"/>
      <c r="N10" s="19" t="s">
        <v>1016</v>
      </c>
    </row>
    <row r="11" spans="2:14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 xml:space="preserve">FOOD REPUBLIC PTE LTD                            Causeway Point @Ice Shop, Woodlands Square #04-01 Causeway Point Singapore 738099                                                        </v>
      </c>
      <c r="G11" s="470"/>
      <c r="H11" s="471"/>
      <c r="J11" s="26" t="s">
        <v>9</v>
      </c>
      <c r="K11" s="504">
        <v>45758</v>
      </c>
      <c r="L11" s="505"/>
    </row>
    <row r="12" spans="2:14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>
        <v>4500364404</v>
      </c>
      <c r="L12" s="483"/>
    </row>
    <row r="13" spans="2:14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4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5" ht="20.149999999999999" customHeight="1" x14ac:dyDescent="0.45">
      <c r="B18" s="58">
        <v>520718</v>
      </c>
      <c r="C18" s="212" t="str">
        <f>VLOOKUP(B18,'Sales Master'!A$3:B$537,2,0)</f>
        <v>M1001A</v>
      </c>
      <c r="D18" s="487" t="str">
        <f>VLOOKUP(C18,'Sales Master'!B$3:D$537,2,)</f>
        <v xml:space="preserve">Fresh Soursop 红毛榴莲 </v>
      </c>
      <c r="E18" s="487"/>
      <c r="F18" s="487"/>
      <c r="G18" s="76">
        <v>1</v>
      </c>
      <c r="H18" s="183" t="str">
        <f>VLOOKUP(C18,'Sales Master'!$B$3:$F$2420,5,0)</f>
        <v>GW:5 KG/ Tub桶</v>
      </c>
      <c r="I18" s="513" t="str">
        <f>VLOOKUP(C18,'Sales Master'!$B$3:$E$2420,4,0)</f>
        <v>DO!</v>
      </c>
      <c r="J18" s="513"/>
      <c r="K18" s="83">
        <f>VLOOKUP(C18,'Sales Master'!B$3:I$537,8,0)</f>
        <v>34</v>
      </c>
      <c r="L18" s="84">
        <f t="shared" ref="L18" si="0">K18*G18</f>
        <v>34</v>
      </c>
      <c r="N18" s="19" t="s">
        <v>887</v>
      </c>
      <c r="O18" s="19" t="s">
        <v>250</v>
      </c>
    </row>
    <row r="19" spans="2:15" ht="20.149999999999999" customHeight="1" x14ac:dyDescent="0.45">
      <c r="B19" s="58">
        <v>520735</v>
      </c>
      <c r="C19" s="212" t="str">
        <f>VLOOKUP(B19,'Sales Master'!A$3:B$537,2,0)</f>
        <v>M1018</v>
      </c>
      <c r="D19" s="487" t="str">
        <f>VLOOKUP(C19,'Sales Master'!B$3:D$537,2,)</f>
        <v>Pong Thai Hai (Wet) 碰大海(湿)</v>
      </c>
      <c r="E19" s="487"/>
      <c r="F19" s="487"/>
      <c r="G19" s="76">
        <v>3</v>
      </c>
      <c r="H19" s="183" t="str">
        <f>VLOOKUP(C19,'Sales Master'!$B$3:$F$2420,5,0)</f>
        <v>1 KG/ Pkt包</v>
      </c>
      <c r="I19" s="513" t="str">
        <f>VLOOKUP(C19,'Sales Master'!$B$3:$E$2420,4,0)</f>
        <v>DO!</v>
      </c>
      <c r="J19" s="513"/>
      <c r="K19" s="83">
        <f>VLOOKUP(C19,'Sales Master'!B$3:I$537,8,0)</f>
        <v>12</v>
      </c>
      <c r="L19" s="84">
        <f t="shared" ref="L19:L29" si="1">K19*G19</f>
        <v>36</v>
      </c>
    </row>
    <row r="20" spans="2:15" ht="20.149999999999999" customHeight="1" x14ac:dyDescent="0.45">
      <c r="B20" s="58">
        <v>520699</v>
      </c>
      <c r="C20" s="212" t="str">
        <f>VLOOKUP(B20,'Sales Master'!A$3:B$537,2,0)</f>
        <v>M1013</v>
      </c>
      <c r="D20" s="487" t="str">
        <f>VLOOKUP(C20,'Sales Master'!B$3:D$537,2,)</f>
        <v>Bobo ChaCha Cubes 摩摩喳喳</v>
      </c>
      <c r="E20" s="487"/>
      <c r="F20" s="487"/>
      <c r="G20" s="76">
        <v>3</v>
      </c>
      <c r="H20" s="183" t="str">
        <f>VLOOKUP(C20,'Sales Master'!$B$3:$F$2420,5,0)</f>
        <v>800 GM/ Bag包</v>
      </c>
      <c r="I20" s="513" t="str">
        <f>VLOOKUP(C20,'Sales Master'!$B$3:$E$2420,4,0)</f>
        <v>DO!</v>
      </c>
      <c r="J20" s="513"/>
      <c r="K20" s="83">
        <f>VLOOKUP(C20,'Sales Master'!B$3:I$537,8,0)</f>
        <v>7</v>
      </c>
      <c r="L20" s="84">
        <f t="shared" si="1"/>
        <v>21</v>
      </c>
    </row>
    <row r="21" spans="2:15" ht="20.149999999999999" customHeight="1" x14ac:dyDescent="0.45">
      <c r="B21" s="58">
        <v>520695</v>
      </c>
      <c r="C21" s="212" t="str">
        <f>VLOOKUP(B21,'Sales Master'!A$3:B$537,2,0)</f>
        <v>P3001B</v>
      </c>
      <c r="D21" s="487" t="str">
        <f>VLOOKUP(C21,'Sales Master'!B$3:D$537,2,)</f>
        <v>Atap Seeds in Syrup 亚嗒子</v>
      </c>
      <c r="E21" s="487"/>
      <c r="F21" s="487"/>
      <c r="G21" s="76">
        <v>2</v>
      </c>
      <c r="H21" s="183" t="str">
        <f>VLOOKUP(C21,'Sales Master'!$B$3:$F$2420,5,0)</f>
        <v>NW(1.6:0.6) 2.2kg/ Bag包</v>
      </c>
      <c r="I21" s="513" t="str">
        <f>VLOOKUP(C21,'Sales Master'!$B$3:$E$2420,4,0)</f>
        <v>DO!</v>
      </c>
      <c r="J21" s="513"/>
      <c r="K21" s="83">
        <f>VLOOKUP(C21,'Sales Master'!B$3:I$537,8,0)</f>
        <v>10</v>
      </c>
      <c r="L21" s="84">
        <f t="shared" si="1"/>
        <v>20</v>
      </c>
    </row>
    <row r="22" spans="2:15" ht="20.149999999999999" customHeight="1" x14ac:dyDescent="0.45">
      <c r="B22" s="58">
        <v>520724</v>
      </c>
      <c r="C22" s="212" t="str">
        <f>VLOOKUP(B22,'Sales Master'!A$3:B$537,2,0)</f>
        <v>P3009A</v>
      </c>
      <c r="D22" s="487" t="str">
        <f>VLOOKUP(C22,'Sales Master'!B$3:D$537,2,)</f>
        <v>Green Bean 绿豆</v>
      </c>
      <c r="E22" s="487"/>
      <c r="F22" s="487"/>
      <c r="G22" s="76">
        <v>1</v>
      </c>
      <c r="H22" s="183" t="str">
        <f>VLOOKUP(C22,'Sales Master'!$B$3:$F$2420,5,0)</f>
        <v>5 KG</v>
      </c>
      <c r="I22" s="513" t="str">
        <f>VLOOKUP(C22,'Sales Master'!$B$3:$E$2420,4,0)</f>
        <v>-</v>
      </c>
      <c r="J22" s="513"/>
      <c r="K22" s="83">
        <f>VLOOKUP(C22,'Sales Master'!B$3:I$537,8,0)</f>
        <v>13</v>
      </c>
      <c r="L22" s="84">
        <f t="shared" si="1"/>
        <v>13</v>
      </c>
    </row>
    <row r="23" spans="2:15" ht="20.149999999999999" customHeight="1" x14ac:dyDescent="0.45">
      <c r="B23" s="58">
        <v>520746</v>
      </c>
      <c r="C23" s="212" t="str">
        <f>VLOOKUP(B23,'Sales Master'!A$3:B$537,2,0)</f>
        <v>P3012A</v>
      </c>
      <c r="D23" s="487" t="str">
        <f>VLOOKUP(C23,'Sales Master'!B$3:D$537,2,)</f>
        <v>Split Green Mung Bean 豆爽</v>
      </c>
      <c r="E23" s="487"/>
      <c r="F23" s="487"/>
      <c r="G23" s="76">
        <v>1</v>
      </c>
      <c r="H23" s="183" t="str">
        <f>VLOOKUP(C23,'Sales Master'!$B$3:$F$2420,5,0)</f>
        <v>5 KG</v>
      </c>
      <c r="I23" s="513" t="str">
        <f>VLOOKUP(C23,'Sales Master'!$B$3:$E$2420,4,0)</f>
        <v>-</v>
      </c>
      <c r="J23" s="513"/>
      <c r="K23" s="83">
        <f>VLOOKUP(C23,'Sales Master'!B$3:I$537,8,0)</f>
        <v>18</v>
      </c>
      <c r="L23" s="84">
        <f t="shared" si="1"/>
        <v>18</v>
      </c>
    </row>
    <row r="24" spans="2:15" ht="20.149999999999999" customHeight="1" x14ac:dyDescent="0.45">
      <c r="B24" s="58">
        <v>520698</v>
      </c>
      <c r="C24" s="212" t="str">
        <f>VLOOKUP(B24,'Sales Master'!A$3:B$537,2,0)</f>
        <v>P3013A</v>
      </c>
      <c r="D24" s="487" t="str">
        <f>VLOOKUP(C24,'Sales Master'!B$3:D$537,2,)</f>
        <v>Black Glutinous Rice 黑糯米</v>
      </c>
      <c r="E24" s="487"/>
      <c r="F24" s="487"/>
      <c r="G24" s="76">
        <v>1</v>
      </c>
      <c r="H24" s="183" t="str">
        <f>VLOOKUP(C24,'Sales Master'!$B$3:$F$2420,5,0)</f>
        <v>5 KGS</v>
      </c>
      <c r="I24" s="513" t="str">
        <f>VLOOKUP(C24,'Sales Master'!$B$3:$E$2420,4,0)</f>
        <v>-</v>
      </c>
      <c r="J24" s="513"/>
      <c r="K24" s="83">
        <f>VLOOKUP(C24,'Sales Master'!B$3:I$537,8,0)</f>
        <v>18</v>
      </c>
      <c r="L24" s="84">
        <f t="shared" si="1"/>
        <v>18</v>
      </c>
    </row>
    <row r="25" spans="2:15" ht="20.149999999999999" customHeight="1" x14ac:dyDescent="0.45">
      <c r="B25" s="58">
        <v>520787</v>
      </c>
      <c r="C25" s="212" t="str">
        <f>VLOOKUP(B25,'Sales Master'!A$3:B$537,2,0)</f>
        <v>P3014A</v>
      </c>
      <c r="D25" s="487" t="str">
        <f>VLOOKUP(C25,'Sales Master'!B$3:D$537,2,)</f>
        <v>White Glutinous Rice 白糯米</v>
      </c>
      <c r="E25" s="487"/>
      <c r="F25" s="487"/>
      <c r="G25" s="76">
        <v>1</v>
      </c>
      <c r="H25" s="183" t="str">
        <f>VLOOKUP(C25,'Sales Master'!$B$3:$F$2420,5,0)</f>
        <v>5 KG</v>
      </c>
      <c r="I25" s="513" t="str">
        <f>VLOOKUP(C25,'Sales Master'!$B$3:$E$2420,4,0)</f>
        <v>-</v>
      </c>
      <c r="J25" s="513"/>
      <c r="K25" s="83">
        <f>VLOOKUP(C25,'Sales Master'!B$3:I$537,8,0)</f>
        <v>11</v>
      </c>
      <c r="L25" s="84">
        <f t="shared" si="1"/>
        <v>11</v>
      </c>
    </row>
    <row r="26" spans="2:15" ht="20.149999999999999" customHeight="1" x14ac:dyDescent="0.45">
      <c r="B26" s="58">
        <v>520696</v>
      </c>
      <c r="C26" s="212" t="str">
        <f>VLOOKUP(B26,'Sales Master'!A$3:B$537,2,0)</f>
        <v>P3016A</v>
      </c>
      <c r="D26" s="487" t="str">
        <f>VLOOKUP(C26,'Sales Master'!B$3:D$537,2,)</f>
        <v>Pearl Barley 薏米</v>
      </c>
      <c r="E26" s="487"/>
      <c r="F26" s="487"/>
      <c r="G26" s="76">
        <v>1</v>
      </c>
      <c r="H26" s="183" t="str">
        <f>VLOOKUP(C26,'Sales Master'!$B$3:$F$2420,5,0)</f>
        <v>5 KG</v>
      </c>
      <c r="I26" s="513" t="str">
        <f>VLOOKUP(C26,'Sales Master'!$B$3:$E$2420,4,0)</f>
        <v>-</v>
      </c>
      <c r="J26" s="513"/>
      <c r="K26" s="83">
        <f>VLOOKUP(C26,'Sales Master'!B$3:I$537,8,0)</f>
        <v>10</v>
      </c>
      <c r="L26" s="84">
        <f t="shared" si="1"/>
        <v>10</v>
      </c>
    </row>
    <row r="27" spans="2:15" ht="20.149999999999999" customHeight="1" x14ac:dyDescent="0.45">
      <c r="B27" s="58">
        <v>520744</v>
      </c>
      <c r="C27" s="212" t="str">
        <f>VLOOKUP(B27,'Sales Master'!A$3:B$537,2,0)</f>
        <v>P3018A</v>
      </c>
      <c r="D27" s="487" t="str">
        <f>VLOOKUP(C27,'Sales Master'!B$3:D$537,2,)</f>
        <v>Small Sago 小丸</v>
      </c>
      <c r="E27" s="487"/>
      <c r="F27" s="487"/>
      <c r="G27" s="76">
        <v>1</v>
      </c>
      <c r="H27" s="183" t="str">
        <f>VLOOKUP(C27,'Sales Master'!$B$3:$F$2420,5,0)</f>
        <v>5 KG</v>
      </c>
      <c r="I27" s="513" t="str">
        <f>VLOOKUP(C27,'Sales Master'!$B$3:$E$2420,4,0)</f>
        <v>-</v>
      </c>
      <c r="J27" s="513"/>
      <c r="K27" s="83">
        <f>VLOOKUP(C27,'Sales Master'!B$3:I$537,8,0)</f>
        <v>11</v>
      </c>
      <c r="L27" s="84">
        <f t="shared" si="1"/>
        <v>11</v>
      </c>
    </row>
    <row r="28" spans="2:15" ht="20.149999999999999" customHeight="1" x14ac:dyDescent="0.45">
      <c r="B28" s="58">
        <v>520745</v>
      </c>
      <c r="C28" s="212" t="str">
        <f>VLOOKUP(B28,'Sales Master'!A$3:B$537,2,0)</f>
        <v>P3044</v>
      </c>
      <c r="D28" s="487" t="str">
        <f>VLOOKUP(C28,'Sales Master'!B$3:D$537,2,)</f>
        <v>Sour Plum 酸梅(无子)</v>
      </c>
      <c r="E28" s="487"/>
      <c r="F28" s="487"/>
      <c r="G28" s="76">
        <v>1</v>
      </c>
      <c r="H28" s="183" t="str">
        <f>VLOOKUP(C28,'Sales Master'!$B$3:$F$2420,5,0)</f>
        <v>1 kg</v>
      </c>
      <c r="I28" s="513" t="str">
        <f>VLOOKUP(C28,'Sales Master'!$B$3:$E$2420,4,0)</f>
        <v>-</v>
      </c>
      <c r="J28" s="513"/>
      <c r="K28" s="83">
        <f>VLOOKUP(C28,'Sales Master'!B$3:I$537,8,0)</f>
        <v>19</v>
      </c>
      <c r="L28" s="84">
        <f t="shared" si="1"/>
        <v>19</v>
      </c>
    </row>
    <row r="29" spans="2:15" ht="20.149999999999999" customHeight="1" x14ac:dyDescent="0.45">
      <c r="B29" s="58">
        <v>520719</v>
      </c>
      <c r="C29" s="212" t="str">
        <f>VLOOKUP(B29,'Sales Master'!A$3:B$537,2,0)</f>
        <v>P4013</v>
      </c>
      <c r="D29" s="487" t="str">
        <f>VLOOKUP(C29,'Sales Master'!B$3:D$537,2,)</f>
        <v>Fruit Cocktail 杂果</v>
      </c>
      <c r="E29" s="487"/>
      <c r="F29" s="487"/>
      <c r="G29" s="76">
        <v>1</v>
      </c>
      <c r="H29" s="183" t="str">
        <f>VLOOKUP(C29,'Sales Master'!$B$3:$F$2420,5,0)</f>
        <v>820 GM x 12/ Ctn箱</v>
      </c>
      <c r="I29" s="513" t="str">
        <f>VLOOKUP(C29,'Sales Master'!$B$3:$E$2420,4,0)</f>
        <v>Statue</v>
      </c>
      <c r="J29" s="513"/>
      <c r="K29" s="83">
        <f>VLOOKUP(C29,'Sales Master'!B$3:I$537,8,0)</f>
        <v>37</v>
      </c>
      <c r="L29" s="84">
        <f t="shared" si="1"/>
        <v>37</v>
      </c>
    </row>
    <row r="30" spans="2:15" ht="20.149999999999999" customHeight="1" x14ac:dyDescent="0.45">
      <c r="B30" s="58">
        <v>520700</v>
      </c>
      <c r="C30" s="212" t="str">
        <f>VLOOKUP(B30,'Sales Master'!A$3:B$537,2,0)</f>
        <v>P5002A</v>
      </c>
      <c r="D30" s="487" t="str">
        <f>VLOOKUP(C30,'Sales Master'!B$3:D$537,2,)</f>
        <v>Brown Sugar 黑糖</v>
      </c>
      <c r="E30" s="487"/>
      <c r="F30" s="487"/>
      <c r="G30" s="76">
        <v>1</v>
      </c>
      <c r="H30" s="183" t="str">
        <f>VLOOKUP(C30,'Sales Master'!$B$3:$F$2420,5,0)</f>
        <v>6 KG</v>
      </c>
      <c r="I30" s="513" t="str">
        <f>VLOOKUP(C30,'Sales Master'!$B$3:$E$2420,4,0)</f>
        <v>Star</v>
      </c>
      <c r="J30" s="513"/>
      <c r="K30" s="83">
        <f>VLOOKUP(C30,'Sales Master'!B$3:I$537,8,0)</f>
        <v>17</v>
      </c>
      <c r="L30" s="84">
        <f t="shared" ref="L30:L33" si="2">K30*G30</f>
        <v>17</v>
      </c>
    </row>
    <row r="31" spans="2:15" ht="20.149999999999999" customHeight="1" x14ac:dyDescent="0.45">
      <c r="B31" s="58">
        <v>520706</v>
      </c>
      <c r="C31" s="212" t="str">
        <f>VLOOKUP(B31,'Sales Master'!A$3:B$537,2,0)</f>
        <v>P5008</v>
      </c>
      <c r="D31" s="487" t="str">
        <f>VLOOKUP(C31,'Sales Master'!B$3:D$537,2,)</f>
        <v>Coconut Sugar 椰糖</v>
      </c>
      <c r="E31" s="487"/>
      <c r="F31" s="487"/>
      <c r="G31" s="76">
        <v>1</v>
      </c>
      <c r="H31" s="183" t="str">
        <f>VLOOKUP(C31,'Sales Master'!$B$3:$F$2420,5,0)</f>
        <v>10 KG/ ctn</v>
      </c>
      <c r="I31" s="513" t="str">
        <f>VLOOKUP(C31,'Sales Master'!$B$3:$E$2420,4,0)</f>
        <v>BL BRAND</v>
      </c>
      <c r="J31" s="513"/>
      <c r="K31" s="83">
        <f>VLOOKUP(C31,'Sales Master'!B$3:I$537,8,0)</f>
        <v>35</v>
      </c>
      <c r="L31" s="84">
        <f t="shared" si="2"/>
        <v>35</v>
      </c>
    </row>
    <row r="32" spans="2:15" ht="20.149999999999999" customHeight="1" x14ac:dyDescent="0.45">
      <c r="B32" s="58">
        <v>520726</v>
      </c>
      <c r="C32" s="212" t="str">
        <f>VLOOKUP(B32,'Sales Master'!A$3:B$537,2,0)</f>
        <v>P6008</v>
      </c>
      <c r="D32" s="487" t="str">
        <f>VLOOKUP(C32,'Sales Master'!B$3:D$537,2,)</f>
        <v>Lime 酸甘</v>
      </c>
      <c r="E32" s="487"/>
      <c r="F32" s="487"/>
      <c r="G32" s="76">
        <v>1</v>
      </c>
      <c r="H32" s="183" t="str">
        <f>VLOOKUP(C32,'Sales Master'!$B$3:$F$2420,5,0)</f>
        <v>1 KG</v>
      </c>
      <c r="I32" s="513" t="str">
        <f>VLOOKUP(C32,'Sales Master'!$B$3:$E$2420,4,0)</f>
        <v>-</v>
      </c>
      <c r="J32" s="513"/>
      <c r="K32" s="83">
        <f>VLOOKUP(C32,'Sales Master'!B$3:I$537,8,0)</f>
        <v>3.2</v>
      </c>
      <c r="L32" s="84">
        <f t="shared" si="2"/>
        <v>3.2</v>
      </c>
    </row>
    <row r="33" spans="2:13" ht="20.149999999999999" customHeight="1" x14ac:dyDescent="0.45">
      <c r="B33" s="58">
        <v>520792</v>
      </c>
      <c r="C33" s="212" t="str">
        <f>VLOOKUP(B33,'Sales Master'!A$3:B$537,2,0)</f>
        <v>P6014</v>
      </c>
      <c r="D33" s="487" t="str">
        <f>VLOOKUP(C33,'Sales Master'!B$3:D$537,2,)</f>
        <v>Yu Tiao 油条</v>
      </c>
      <c r="E33" s="487"/>
      <c r="F33" s="487"/>
      <c r="G33" s="76">
        <v>4</v>
      </c>
      <c r="H33" s="183" t="str">
        <f>VLOOKUP(C33,'Sales Master'!$B$3:$F$2420,5,0)</f>
        <v>10 PCS/PKT</v>
      </c>
      <c r="I33" s="513" t="str">
        <f>VLOOKUP(C33,'Sales Master'!$B$3:$E$2420,4,0)</f>
        <v>-</v>
      </c>
      <c r="J33" s="513"/>
      <c r="K33" s="83">
        <f>VLOOKUP(C33,'Sales Master'!B$3:I$537,8,0)</f>
        <v>5.5</v>
      </c>
      <c r="L33" s="84">
        <f t="shared" si="2"/>
        <v>22</v>
      </c>
    </row>
    <row r="34" spans="2:13" ht="20.149999999999999" customHeight="1" x14ac:dyDescent="0.45">
      <c r="B34" s="29"/>
      <c r="C34" s="212"/>
      <c r="G34" s="76"/>
      <c r="H34" s="183"/>
      <c r="I34" s="209"/>
      <c r="J34" s="209"/>
      <c r="K34" s="83"/>
      <c r="L34" s="84"/>
    </row>
    <row r="35" spans="2:13" ht="20.149999999999999" customHeight="1" x14ac:dyDescent="0.45">
      <c r="B35" s="29"/>
      <c r="C35" s="212"/>
      <c r="G35" s="76"/>
      <c r="H35" s="183"/>
      <c r="I35" s="209"/>
      <c r="J35" s="209"/>
      <c r="K35" s="83"/>
      <c r="L35" s="84"/>
    </row>
    <row r="36" spans="2:13" ht="20.149999999999999" customHeight="1" x14ac:dyDescent="0.45">
      <c r="B36" s="104"/>
      <c r="C36" s="105"/>
      <c r="D36" s="514"/>
      <c r="E36" s="514"/>
      <c r="F36" s="514"/>
      <c r="G36" s="105"/>
      <c r="H36" s="105"/>
      <c r="I36" s="124"/>
      <c r="J36" s="124"/>
      <c r="K36" s="108"/>
      <c r="L36" s="125"/>
    </row>
    <row r="37" spans="2:13" ht="20.149999999999999" customHeight="1" thickBot="1" x14ac:dyDescent="0.5">
      <c r="B37" s="36"/>
      <c r="L37" s="37"/>
    </row>
    <row r="38" spans="2:13" ht="20.149999999999999" customHeight="1" x14ac:dyDescent="0.45">
      <c r="B38" s="10" t="s">
        <v>16</v>
      </c>
      <c r="C38" s="6"/>
      <c r="D38" s="6"/>
      <c r="E38" s="6"/>
      <c r="F38" s="6"/>
      <c r="G38" s="6"/>
      <c r="H38" s="6"/>
      <c r="I38" s="6"/>
      <c r="J38" s="489" t="s">
        <v>13</v>
      </c>
      <c r="K38" s="490"/>
      <c r="L38" s="38">
        <f>SUM(L18:L37)</f>
        <v>325.2</v>
      </c>
      <c r="M38" s="63">
        <f>SUM(P18:P37)</f>
        <v>0</v>
      </c>
    </row>
    <row r="39" spans="2:13" ht="20.149999999999999" customHeight="1" x14ac:dyDescent="0.45">
      <c r="B39" s="10" t="s">
        <v>17</v>
      </c>
      <c r="C39" s="6"/>
      <c r="D39" s="6"/>
      <c r="E39" s="6"/>
      <c r="F39" s="6"/>
      <c r="G39" s="6"/>
      <c r="H39" s="6"/>
      <c r="I39" s="6"/>
      <c r="J39" s="39" t="s">
        <v>20</v>
      </c>
      <c r="K39" s="40"/>
      <c r="L39" s="41">
        <f>L38*K39</f>
        <v>0</v>
      </c>
    </row>
    <row r="40" spans="2:13" ht="20.149999999999999" customHeight="1" x14ac:dyDescent="0.45">
      <c r="B40" s="10" t="s">
        <v>18</v>
      </c>
      <c r="C40" s="6"/>
      <c r="D40" s="6"/>
      <c r="E40" s="6"/>
      <c r="F40" s="6"/>
      <c r="G40" s="6"/>
      <c r="H40" s="6"/>
      <c r="I40" s="6"/>
      <c r="J40" s="491" t="s">
        <v>19</v>
      </c>
      <c r="K40" s="492"/>
      <c r="L40" s="41">
        <f>L38-L39</f>
        <v>325.2</v>
      </c>
    </row>
    <row r="41" spans="2:13" ht="20.149999999999999" customHeight="1" x14ac:dyDescent="0.45">
      <c r="B41" s="10" t="s">
        <v>22</v>
      </c>
      <c r="C41" s="6"/>
      <c r="D41" s="6"/>
      <c r="E41" s="6"/>
      <c r="F41" s="6"/>
      <c r="G41" s="6"/>
      <c r="H41" s="6"/>
      <c r="I41" s="6"/>
      <c r="J41" s="102" t="s">
        <v>15</v>
      </c>
      <c r="K41" s="103">
        <f>'Sales Master'!$B$1</f>
        <v>0.09</v>
      </c>
      <c r="L41" s="42">
        <f>L40*K41</f>
        <v>29.267999999999997</v>
      </c>
    </row>
    <row r="42" spans="2:13" ht="20.149999999999999" customHeight="1" thickBot="1" x14ac:dyDescent="0.5">
      <c r="B42" s="10" t="s">
        <v>676</v>
      </c>
      <c r="C42" s="6"/>
      <c r="D42" s="6"/>
      <c r="E42" s="6"/>
      <c r="F42" s="6"/>
      <c r="G42" s="6"/>
      <c r="H42" s="6"/>
      <c r="I42" s="6"/>
      <c r="J42" s="485" t="s">
        <v>21</v>
      </c>
      <c r="K42" s="486"/>
      <c r="L42" s="43">
        <f>L40+L41</f>
        <v>354.46799999999996</v>
      </c>
    </row>
    <row r="43" spans="2:13" ht="20.149999999999999" customHeight="1" x14ac:dyDescent="0.45">
      <c r="B43" s="10" t="s">
        <v>24</v>
      </c>
      <c r="C43" s="6"/>
      <c r="D43" s="6"/>
      <c r="E43" s="6"/>
      <c r="F43" s="6"/>
      <c r="G43" s="6"/>
      <c r="H43" s="6"/>
      <c r="I43" s="6"/>
      <c r="L43" s="37"/>
    </row>
    <row r="44" spans="2:13" ht="20.149999999999999" customHeight="1" x14ac:dyDescent="0.45">
      <c r="B44" s="144" t="s">
        <v>666</v>
      </c>
      <c r="L44" s="37"/>
    </row>
    <row r="45" spans="2:13" ht="20.149999999999999" customHeight="1" x14ac:dyDescent="0.45">
      <c r="B45" s="144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44"/>
      <c r="C48" s="45"/>
      <c r="D48" s="45"/>
      <c r="J48" s="45"/>
      <c r="K48" s="45"/>
      <c r="L48" s="46"/>
    </row>
    <row r="49" spans="2:12" ht="20.149999999999999" customHeight="1" x14ac:dyDescent="0.45">
      <c r="B49" s="36" t="s">
        <v>25</v>
      </c>
      <c r="J49" s="19" t="s">
        <v>26</v>
      </c>
      <c r="L49" s="37"/>
    </row>
    <row r="50" spans="2:12" ht="19" thickBot="1" x14ac:dyDescent="0.5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9"/>
    </row>
  </sheetData>
  <mergeCells count="51">
    <mergeCell ref="J42:K42"/>
    <mergeCell ref="J38:K38"/>
    <mergeCell ref="J40:K40"/>
    <mergeCell ref="D19:F19"/>
    <mergeCell ref="D33:F33"/>
    <mergeCell ref="I33:J33"/>
    <mergeCell ref="D36:F36"/>
    <mergeCell ref="I19:J19"/>
    <mergeCell ref="I23:J23"/>
    <mergeCell ref="I28:J28"/>
    <mergeCell ref="I27:J27"/>
    <mergeCell ref="D27:F27"/>
    <mergeCell ref="D23:F23"/>
    <mergeCell ref="D25:F25"/>
    <mergeCell ref="I25:J25"/>
    <mergeCell ref="D28:F28"/>
    <mergeCell ref="I17:J17"/>
    <mergeCell ref="I29:J29"/>
    <mergeCell ref="D32:F32"/>
    <mergeCell ref="D26:F26"/>
    <mergeCell ref="I32:J32"/>
    <mergeCell ref="D30:F30"/>
    <mergeCell ref="D29:F29"/>
    <mergeCell ref="I30:J30"/>
    <mergeCell ref="D18:F18"/>
    <mergeCell ref="D17:F17"/>
    <mergeCell ref="I18:J18"/>
    <mergeCell ref="I20:J20"/>
    <mergeCell ref="I21:J21"/>
    <mergeCell ref="D22:F22"/>
    <mergeCell ref="I22:J22"/>
    <mergeCell ref="D20:F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1:F21"/>
    <mergeCell ref="I24:J24"/>
    <mergeCell ref="D31:F31"/>
    <mergeCell ref="I31:J31"/>
    <mergeCell ref="D24:F24"/>
    <mergeCell ref="I26:J26"/>
  </mergeCells>
  <pageMargins left="0.74803149606299213" right="0" top="0" bottom="0.23622047244094491" header="0.31496062992125984" footer="0.31496062992125984"/>
  <pageSetup paperSize="9" scale="76" orientation="portrait" r:id="rId1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06D12-1A07-4DBC-A0C6-290B4691F248}">
  <sheetPr codeName="Sheet11">
    <tabColor theme="8" tint="0.39997558519241921"/>
    <pageSetUpPr fitToPage="1"/>
  </sheetPr>
  <dimension ref="B1:R43"/>
  <sheetViews>
    <sheetView topLeftCell="A6" zoomScaleNormal="100" workbookViewId="0">
      <selection activeCell="L19" sqref="L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7.3632812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1461</v>
      </c>
      <c r="J10" s="24" t="s">
        <v>27</v>
      </c>
      <c r="K10" s="464">
        <v>202412697</v>
      </c>
      <c r="L10" s="465"/>
    </row>
    <row r="11" spans="2:12" ht="20.149999999999999" customHeight="1" x14ac:dyDescent="0.45">
      <c r="B11" s="466" t="s">
        <v>1463</v>
      </c>
      <c r="C11" s="467"/>
      <c r="D11" s="468"/>
      <c r="E11" s="25"/>
      <c r="F11" s="469" t="str">
        <f>VLOOKUP(H10,'Delivery Location'!A$4:N$466,2,0)</f>
        <v>Robo-T Cafe                                                  369 Sembawang #01-03             Singapore 758382</v>
      </c>
      <c r="G11" s="470"/>
      <c r="H11" s="471"/>
      <c r="J11" s="26" t="s">
        <v>9</v>
      </c>
      <c r="K11" s="478">
        <v>45657</v>
      </c>
      <c r="L11" s="479"/>
    </row>
    <row r="12" spans="2:12" ht="20.149999999999999" customHeight="1" x14ac:dyDescent="0.45">
      <c r="B12" s="480" t="s">
        <v>1464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1465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0"/>
      <c r="C15" s="51"/>
      <c r="D15" s="52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1466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8" ht="20.149999999999999" customHeight="1" x14ac:dyDescent="0.45">
      <c r="B18" s="29"/>
      <c r="C18" s="17"/>
      <c r="D18" s="487" t="s">
        <v>2266</v>
      </c>
      <c r="E18" s="487"/>
      <c r="F18" s="487"/>
      <c r="G18" s="17"/>
      <c r="H18" s="186"/>
      <c r="I18" s="523"/>
      <c r="J18" s="523"/>
      <c r="K18" s="80"/>
      <c r="L18" s="64">
        <v>340.2</v>
      </c>
      <c r="M18" s="65"/>
      <c r="N18" s="145"/>
      <c r="O18" s="145"/>
      <c r="P18" s="145"/>
      <c r="R18" s="63">
        <f>G18*N18*0.07</f>
        <v>0</v>
      </c>
    </row>
    <row r="19" spans="2:18" ht="20.149999999999999" customHeight="1" x14ac:dyDescent="0.45">
      <c r="B19" s="29"/>
      <c r="C19" s="17"/>
      <c r="D19" s="487"/>
      <c r="E19" s="487"/>
      <c r="F19" s="487"/>
      <c r="G19" s="17"/>
      <c r="H19" s="186"/>
      <c r="I19" s="484"/>
      <c r="J19" s="484"/>
      <c r="K19" s="80"/>
      <c r="L19" s="64"/>
      <c r="M19" s="65"/>
      <c r="N19" s="145"/>
      <c r="O19" s="145"/>
      <c r="P19" s="145"/>
      <c r="R19" s="63"/>
    </row>
    <row r="20" spans="2:18" ht="20.149999999999999" customHeight="1" x14ac:dyDescent="0.45">
      <c r="B20" s="29"/>
      <c r="C20" s="17"/>
      <c r="D20" s="487"/>
      <c r="E20" s="487"/>
      <c r="F20" s="487"/>
      <c r="G20" s="17"/>
      <c r="H20" s="186"/>
      <c r="I20" s="484"/>
      <c r="J20" s="484"/>
      <c r="K20" s="80"/>
      <c r="L20" s="64"/>
      <c r="M20" s="65"/>
      <c r="N20" s="145"/>
      <c r="O20" s="145"/>
      <c r="P20" s="145"/>
    </row>
    <row r="21" spans="2:18" ht="20.149999999999999" customHeight="1" x14ac:dyDescent="0.45">
      <c r="B21" s="29"/>
      <c r="C21" s="17"/>
      <c r="D21" s="487"/>
      <c r="E21" s="487"/>
      <c r="F21" s="487"/>
      <c r="G21" s="17"/>
      <c r="H21" s="186"/>
      <c r="I21" s="484"/>
      <c r="J21" s="484"/>
      <c r="K21" s="80"/>
      <c r="L21" s="64"/>
      <c r="M21" s="65"/>
      <c r="N21" s="145"/>
      <c r="O21" s="145"/>
      <c r="P21" s="145"/>
    </row>
    <row r="22" spans="2:18" ht="20.149999999999999" customHeight="1" x14ac:dyDescent="0.45">
      <c r="B22" s="29"/>
      <c r="C22" s="17"/>
      <c r="D22" s="487"/>
      <c r="E22" s="487"/>
      <c r="F22" s="487"/>
      <c r="G22" s="17"/>
      <c r="H22" s="186"/>
      <c r="I22" s="484"/>
      <c r="J22" s="484"/>
      <c r="K22" s="80"/>
      <c r="L22" s="64"/>
      <c r="M22" s="65"/>
      <c r="N22" s="145"/>
      <c r="O22" s="145"/>
      <c r="P22" s="145"/>
    </row>
    <row r="23" spans="2:18" ht="20.149999999999999" customHeight="1" x14ac:dyDescent="0.45">
      <c r="B23" s="29"/>
      <c r="C23" s="17"/>
      <c r="D23" s="487"/>
      <c r="E23" s="487"/>
      <c r="F23" s="487"/>
      <c r="G23" s="17"/>
      <c r="H23" s="186"/>
      <c r="I23" s="484"/>
      <c r="J23" s="484"/>
      <c r="K23" s="80"/>
      <c r="L23" s="64"/>
      <c r="M23" s="65"/>
    </row>
    <row r="24" spans="2:18" ht="20.149999999999999" customHeight="1" x14ac:dyDescent="0.45">
      <c r="B24" s="29"/>
      <c r="G24" s="17"/>
      <c r="H24" s="186"/>
      <c r="I24" s="208"/>
      <c r="J24" s="208"/>
      <c r="K24" s="80"/>
      <c r="L24" s="64"/>
      <c r="M24" s="65"/>
    </row>
    <row r="25" spans="2:18" ht="20.149999999999999" customHeight="1" x14ac:dyDescent="0.45">
      <c r="B25" s="29"/>
      <c r="C25" s="153"/>
      <c r="G25" s="193"/>
      <c r="H25" s="56"/>
      <c r="I25" s="208"/>
      <c r="J25" s="208"/>
      <c r="K25" s="190"/>
      <c r="L25" s="64"/>
      <c r="M25" s="65"/>
    </row>
    <row r="26" spans="2:18" ht="20.149999999999999" customHeight="1" x14ac:dyDescent="0.45">
      <c r="B26" s="29"/>
      <c r="C26" s="17"/>
      <c r="D26" s="487"/>
      <c r="E26" s="487"/>
      <c r="F26" s="487"/>
      <c r="G26" s="76"/>
      <c r="H26" s="186"/>
      <c r="I26" s="519"/>
      <c r="J26" s="519"/>
      <c r="K26" s="80"/>
      <c r="L26" s="64"/>
      <c r="M26" s="65"/>
    </row>
    <row r="27" spans="2:18" ht="20.149999999999999" customHeight="1" x14ac:dyDescent="0.45">
      <c r="B27" s="29"/>
      <c r="C27" s="17"/>
      <c r="G27" s="17"/>
      <c r="H27" s="186"/>
      <c r="I27" s="186"/>
      <c r="J27" s="186"/>
      <c r="K27" s="80"/>
      <c r="L27" s="64"/>
      <c r="M27" s="65"/>
    </row>
    <row r="28" spans="2:18" ht="20.149999999999999" customHeight="1" thickBot="1" x14ac:dyDescent="0.5">
      <c r="B28" s="32"/>
      <c r="C28" s="33"/>
      <c r="D28" s="488"/>
      <c r="E28" s="488"/>
      <c r="F28" s="488"/>
      <c r="G28" s="33"/>
      <c r="H28" s="57"/>
      <c r="I28" s="459"/>
      <c r="J28" s="459"/>
      <c r="K28" s="34"/>
      <c r="L28" s="35"/>
    </row>
    <row r="29" spans="2:18" ht="20.149999999999999" customHeight="1" thickBot="1" x14ac:dyDescent="0.5">
      <c r="B29" s="36"/>
      <c r="L29" s="37"/>
    </row>
    <row r="30" spans="2:18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SUM(L17:L27)</f>
        <v>340.2</v>
      </c>
      <c r="M30" s="63"/>
      <c r="N30" s="133"/>
    </row>
    <row r="31" spans="2:18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8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340.2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30.617999999999999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370.81799999999998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G36" s="19" t="s">
        <v>439</v>
      </c>
      <c r="H36" s="17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20.5" x14ac:dyDescent="0.45">
      <c r="F43" s="202"/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D18:F18"/>
    <mergeCell ref="I18:J18"/>
    <mergeCell ref="J32:K32"/>
    <mergeCell ref="D19:F19"/>
    <mergeCell ref="I19:J19"/>
    <mergeCell ref="I22:J22"/>
    <mergeCell ref="D23:F23"/>
    <mergeCell ref="I23:J23"/>
    <mergeCell ref="D20:F20"/>
    <mergeCell ref="D21:F21"/>
    <mergeCell ref="D22:F22"/>
    <mergeCell ref="J34:K34"/>
    <mergeCell ref="I20:J20"/>
    <mergeCell ref="I21:J21"/>
    <mergeCell ref="D28:F28"/>
    <mergeCell ref="I28:J28"/>
    <mergeCell ref="J30:K30"/>
    <mergeCell ref="D26:F26"/>
    <mergeCell ref="I26:J26"/>
  </mergeCells>
  <conditionalFormatting sqref="C25">
    <cfRule type="duplicateValues" dxfId="47" priority="1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C7D09-024D-41FE-BA48-FFC78E26156C}">
  <sheetPr codeName="Sheet112">
    <tabColor rgb="FFFFC000"/>
    <pageSetUpPr fitToPage="1"/>
  </sheetPr>
  <dimension ref="B1:S42"/>
  <sheetViews>
    <sheetView topLeftCell="A7" workbookViewId="0">
      <selection activeCell="K33" sqref="K3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1530</v>
      </c>
      <c r="J10" s="24" t="s">
        <v>27</v>
      </c>
      <c r="K10" s="464">
        <v>202308540</v>
      </c>
      <c r="L10" s="465"/>
    </row>
    <row r="11" spans="2:14" ht="20.149999999999999" customHeight="1" x14ac:dyDescent="0.45">
      <c r="B11" s="466" t="s">
        <v>1306</v>
      </c>
      <c r="C11" s="467"/>
      <c r="D11" s="468"/>
      <c r="E11" s="25"/>
      <c r="F11" s="469" t="str">
        <f>VLOOKUP(H10,'Delivery Location'!A$4:N$466,2,0)</f>
        <v>Super Tea (S) Pte Ltd (HQ)                                                  1 Woodlands Height, #07-01,      Singapore 737859</v>
      </c>
      <c r="G11" s="470"/>
      <c r="H11" s="471"/>
      <c r="J11" s="26" t="s">
        <v>9</v>
      </c>
      <c r="K11" s="478">
        <v>45160</v>
      </c>
      <c r="L11" s="479"/>
    </row>
    <row r="12" spans="2:14" ht="20.149999999999999" customHeight="1" x14ac:dyDescent="0.45">
      <c r="B12" s="480" t="s">
        <v>1307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19" t="s">
        <v>1309</v>
      </c>
    </row>
    <row r="13" spans="2:14" ht="20.149999999999999" customHeight="1" x14ac:dyDescent="0.45">
      <c r="B13" s="480" t="s">
        <v>1221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730</v>
      </c>
    </row>
    <row r="14" spans="2:14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9" ht="20.149999999999999" customHeight="1" x14ac:dyDescent="0.45">
      <c r="B18" s="29"/>
      <c r="C18" s="212" t="s">
        <v>701</v>
      </c>
      <c r="D18" s="533" t="str">
        <f>VLOOKUP(C18,'Sales Master'!B$3:D$537,2,)</f>
        <v>Fresh Soursop Seedless 红毛榴莲(无)</v>
      </c>
      <c r="E18" s="533"/>
      <c r="F18" s="533"/>
      <c r="G18" s="76">
        <v>2</v>
      </c>
      <c r="H18" s="186" t="str">
        <f>VLOOKUP(C18,'Sales Master'!$B$3:$F$2488,5,0)</f>
        <v>GW:1 KG/ Box盒</v>
      </c>
      <c r="I18" s="484" t="str">
        <f>VLOOKUP(C18,'Sales Master'!$B$3:$E$2488,4,0)</f>
        <v>DO!</v>
      </c>
      <c r="J18" s="484"/>
      <c r="K18" s="30">
        <f>VLOOKUP(C18,'Sales Master'!B$3:AD$537,29,0)</f>
        <v>0</v>
      </c>
      <c r="L18" s="64">
        <f>K18*G18</f>
        <v>0</v>
      </c>
      <c r="M18" s="65"/>
      <c r="N18" s="145">
        <f>VLOOKUP(C18,'Sales Master'!$B$3:$DA$2279,104,0)</f>
        <v>5.13</v>
      </c>
      <c r="O18" s="145">
        <f>K18-N18</f>
        <v>-5.13</v>
      </c>
      <c r="P18" s="145">
        <f>O18*G18</f>
        <v>-10.26</v>
      </c>
    </row>
    <row r="19" spans="2:19" ht="20.149999999999999" customHeight="1" x14ac:dyDescent="0.45">
      <c r="B19" s="29"/>
      <c r="C19" s="212" t="s">
        <v>1713</v>
      </c>
      <c r="D19" s="487" t="str">
        <f>VLOOKUP(C19,'Sales Master'!B$3:D$537,2,)</f>
        <v>Fresh Pineapple Puree 凤梨果酱</v>
      </c>
      <c r="E19" s="487"/>
      <c r="F19" s="487"/>
      <c r="G19" s="76">
        <v>1</v>
      </c>
      <c r="H19" s="186" t="str">
        <f>VLOOKUP(C19,'Sales Master'!$B$3:$F$2488,5,0)</f>
        <v>800 GM</v>
      </c>
      <c r="I19" s="484" t="str">
        <f>VLOOKUP(C19,'Sales Master'!$B$3:$E$2488,4,0)</f>
        <v>DO!</v>
      </c>
      <c r="J19" s="484"/>
      <c r="K19" s="525" t="s">
        <v>1086</v>
      </c>
      <c r="L19" s="526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2"/>
      <c r="D20" s="487" t="s">
        <v>1732</v>
      </c>
      <c r="E20" s="487"/>
      <c r="F20" s="487"/>
      <c r="G20" s="76">
        <v>1</v>
      </c>
      <c r="H20" s="186" t="s">
        <v>1733</v>
      </c>
      <c r="I20" s="484" t="s">
        <v>34</v>
      </c>
      <c r="J20" s="484"/>
      <c r="K20" s="525" t="s">
        <v>1086</v>
      </c>
      <c r="L20" s="526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87"/>
      <c r="E21" s="487"/>
      <c r="F21" s="487"/>
      <c r="G21" s="76"/>
      <c r="H21" s="56"/>
      <c r="I21" s="494"/>
      <c r="J21" s="494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87"/>
      <c r="E22" s="487"/>
      <c r="F22" s="487"/>
      <c r="G22" s="76"/>
      <c r="H22" s="56"/>
      <c r="I22" s="494"/>
      <c r="J22" s="494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87"/>
      <c r="E26" s="487"/>
      <c r="F26" s="487"/>
      <c r="G26" s="76"/>
      <c r="H26" s="165"/>
      <c r="I26" s="494"/>
      <c r="J26" s="494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488"/>
      <c r="E28" s="488"/>
      <c r="F28" s="488"/>
      <c r="G28" s="33"/>
      <c r="H28" s="57"/>
      <c r="I28" s="459"/>
      <c r="J28" s="459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SUM(L14:L28)</f>
        <v>0</v>
      </c>
      <c r="M30" s="63">
        <f>SUM(P18:P28)</f>
        <v>-10.26</v>
      </c>
      <c r="N30" s="133" t="e">
        <f>M30/L30</f>
        <v>#DIV/0!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0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0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J32:K32"/>
    <mergeCell ref="J34:K34"/>
    <mergeCell ref="D25:F25"/>
    <mergeCell ref="I25:J25"/>
    <mergeCell ref="D26:F26"/>
    <mergeCell ref="I26:J26"/>
    <mergeCell ref="D28:F28"/>
    <mergeCell ref="I28:J28"/>
    <mergeCell ref="D23:F23"/>
    <mergeCell ref="I23:J23"/>
    <mergeCell ref="D24:F24"/>
    <mergeCell ref="I24:J24"/>
    <mergeCell ref="J30:K30"/>
    <mergeCell ref="D17:F17"/>
    <mergeCell ref="D21:F21"/>
    <mergeCell ref="I21:J21"/>
    <mergeCell ref="D22:F22"/>
    <mergeCell ref="I22:J22"/>
    <mergeCell ref="D19:F19"/>
    <mergeCell ref="I19:J19"/>
    <mergeCell ref="D20:F20"/>
    <mergeCell ref="I20:J20"/>
    <mergeCell ref="D18:F18"/>
    <mergeCell ref="I18:J18"/>
    <mergeCell ref="K20:L20"/>
    <mergeCell ref="K19:L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E823F-CDE8-4F20-BB5F-5FE7E506E912}">
  <sheetPr>
    <tabColor rgb="FFFFC000"/>
    <pageSetUpPr fitToPage="1"/>
  </sheetPr>
  <dimension ref="B1:W43"/>
  <sheetViews>
    <sheetView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54296875" style="19" customWidth="1"/>
    <col min="9" max="9" width="1.45312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1852</v>
      </c>
      <c r="J10" s="24" t="s">
        <v>27</v>
      </c>
      <c r="K10" s="464">
        <v>202412257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Koufu - Dim Sum                                             Blk 57 Dawson Road, #02-09/10 Dawson Place, Singapore 142057</v>
      </c>
      <c r="G11" s="470"/>
      <c r="H11" s="471"/>
      <c r="J11" s="26" t="s">
        <v>9</v>
      </c>
      <c r="K11" s="478">
        <v>45638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2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7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3" ht="20.149999999999999" customHeight="1" x14ac:dyDescent="0.45">
      <c r="B18" s="29"/>
      <c r="C18" s="212" t="s">
        <v>796</v>
      </c>
      <c r="D18" s="487" t="str">
        <f>VLOOKUP(C18,'Sales Master'!B$3:D$537,2,)</f>
        <v>Rice Flour 粘米粉</v>
      </c>
      <c r="E18" s="487"/>
      <c r="F18" s="487"/>
      <c r="G18" s="17">
        <v>1</v>
      </c>
      <c r="H18" s="186" t="str">
        <f>VLOOKUP(C18,'Sales Master'!$B$3:$F$2488,5,0)</f>
        <v>(600 GM x 20)/ Ctn箱</v>
      </c>
      <c r="I18" s="484" t="str">
        <f>VLOOKUP(C18,'Sales Master'!$B$3:$E$2488,4,0)</f>
        <v>ERAWAN</v>
      </c>
      <c r="J18" s="484"/>
      <c r="K18" s="30">
        <f>VLOOKUP(C18,'Sales Master'!B$3:J$537,9,0)</f>
        <v>22.5</v>
      </c>
      <c r="L18" s="64">
        <f>K18*G18</f>
        <v>22.5</v>
      </c>
      <c r="M18" s="65"/>
      <c r="N18" s="145">
        <f>VLOOKUP(C18,'Sales Master'!$B$3:$DA$2279,104,0)</f>
        <v>18.600000000000001</v>
      </c>
      <c r="O18" s="145">
        <f>K18-N18</f>
        <v>3.8999999999999986</v>
      </c>
      <c r="P18" s="145">
        <f>O18*G18</f>
        <v>3.8999999999999986</v>
      </c>
    </row>
    <row r="19" spans="2:23" ht="20.149999999999999" customHeight="1" x14ac:dyDescent="0.45">
      <c r="B19" s="29"/>
      <c r="C19" s="212" t="s">
        <v>853</v>
      </c>
      <c r="D19" s="487" t="str">
        <f>VLOOKUP(C19,'Sales Master'!B$3:D$537,2,)</f>
        <v>Small Sago 小丸</v>
      </c>
      <c r="E19" s="487"/>
      <c r="F19" s="487"/>
      <c r="G19" s="17">
        <v>1</v>
      </c>
      <c r="H19" s="186" t="str">
        <f>VLOOKUP(C19,'Sales Master'!$B$3:$F$2488,5,0)</f>
        <v>5 KG</v>
      </c>
      <c r="I19" s="484" t="str">
        <f>VLOOKUP(C19,'Sales Master'!$B$3:$E$2488,4,0)</f>
        <v>-</v>
      </c>
      <c r="J19" s="484"/>
      <c r="K19" s="30">
        <f>VLOOKUP(C19,'Sales Master'!B$3:J$537,9,0)</f>
        <v>10</v>
      </c>
      <c r="L19" s="64">
        <f>K19*G19</f>
        <v>10</v>
      </c>
      <c r="M19" s="65"/>
      <c r="N19" s="145">
        <f>VLOOKUP(C19,'Sales Master'!$B$3:$DA$2279,104,0)</f>
        <v>0.70833333333333326</v>
      </c>
      <c r="O19" s="145">
        <f>K19-N19</f>
        <v>9.2916666666666661</v>
      </c>
      <c r="P19" s="145">
        <f>O19*G19</f>
        <v>9.2916666666666661</v>
      </c>
      <c r="R19" s="19">
        <v>2</v>
      </c>
      <c r="S19" s="19" t="s">
        <v>54</v>
      </c>
      <c r="T19" s="19" t="s">
        <v>328</v>
      </c>
      <c r="V19" s="19">
        <v>9</v>
      </c>
      <c r="W19" s="19">
        <v>18</v>
      </c>
    </row>
    <row r="20" spans="2:23" ht="20.149999999999999" customHeight="1" x14ac:dyDescent="0.45">
      <c r="B20" s="29"/>
      <c r="C20" s="212" t="s">
        <v>937</v>
      </c>
      <c r="D20" s="487" t="str">
        <f>VLOOKUP(C20,'Sales Master'!B$3:D$537,2,)</f>
        <v>Lychee in Syrup 荔枝</v>
      </c>
      <c r="E20" s="487"/>
      <c r="F20" s="487"/>
      <c r="G20" s="17">
        <v>1</v>
      </c>
      <c r="H20" s="186" t="str">
        <f>VLOOKUP(C20,'Sales Master'!$B$3:$F$2488,5,0)</f>
        <v>12 CAN/CARTON</v>
      </c>
      <c r="I20" s="484" t="str">
        <f>VLOOKUP(C20,'Sales Master'!$B$3:$E$2488,4,0)</f>
        <v>Statue</v>
      </c>
      <c r="J20" s="484"/>
      <c r="K20" s="30">
        <f>VLOOKUP(C20,'Sales Master'!B$3:J$537,9,0)</f>
        <v>22</v>
      </c>
      <c r="L20" s="64">
        <f>K20*G20</f>
        <v>22</v>
      </c>
      <c r="M20" s="65"/>
      <c r="N20" s="145">
        <f>VLOOKUP(C20,'Sales Master'!$B$3:$DA$2279,104,0)</f>
        <v>16.5</v>
      </c>
      <c r="O20" s="145">
        <f>K20-N20</f>
        <v>5.5</v>
      </c>
      <c r="P20" s="145">
        <f>O20*G20</f>
        <v>5.5</v>
      </c>
      <c r="R20" s="19">
        <v>1</v>
      </c>
      <c r="S20" s="19" t="s">
        <v>367</v>
      </c>
      <c r="T20" s="19" t="s">
        <v>429</v>
      </c>
      <c r="V20" s="19">
        <v>32</v>
      </c>
      <c r="W20" s="19">
        <v>32</v>
      </c>
    </row>
    <row r="21" spans="2:23" ht="20.149999999999999" customHeight="1" x14ac:dyDescent="0.45">
      <c r="B21" s="29"/>
      <c r="C21" s="212" t="s">
        <v>1009</v>
      </c>
      <c r="D21" s="487" t="str">
        <f>VLOOKUP(C21,'Sales Master'!B$3:D$537,2,)</f>
        <v>Pandan Leaf 班兰叶</v>
      </c>
      <c r="E21" s="487"/>
      <c r="F21" s="487"/>
      <c r="G21" s="17">
        <v>1</v>
      </c>
      <c r="H21" s="186" t="str">
        <f>VLOOKUP(C21,'Sales Master'!$B$3:$F$2488,5,0)</f>
        <v>1 KG</v>
      </c>
      <c r="I21" s="484" t="str">
        <f>VLOOKUP(C21,'Sales Master'!$B$3:$E$2488,4,0)</f>
        <v>-</v>
      </c>
      <c r="J21" s="484"/>
      <c r="K21" s="30">
        <f>VLOOKUP(C21,'Sales Master'!B$3:J$537,9,0)</f>
        <v>1.8</v>
      </c>
      <c r="L21" s="64">
        <f>K21*G21</f>
        <v>1.8</v>
      </c>
      <c r="M21" s="65"/>
      <c r="N21" s="145">
        <f>VLOOKUP(C21,'Sales Master'!$B$3:$DA$2279,104,0)</f>
        <v>1.1000000000000001</v>
      </c>
      <c r="O21" s="145">
        <f>K21-N21</f>
        <v>0.7</v>
      </c>
      <c r="P21" s="145">
        <f>O21*G21</f>
        <v>0.7</v>
      </c>
      <c r="R21" s="19">
        <v>1</v>
      </c>
      <c r="S21" s="19" t="s">
        <v>367</v>
      </c>
      <c r="T21" s="19" t="s">
        <v>431</v>
      </c>
      <c r="V21" s="19">
        <v>26</v>
      </c>
      <c r="W21" s="19">
        <v>26</v>
      </c>
    </row>
    <row r="22" spans="2:23" ht="20.149999999999999" customHeight="1" x14ac:dyDescent="0.45">
      <c r="B22" s="29"/>
      <c r="C22" s="17"/>
      <c r="D22" s="487"/>
      <c r="E22" s="487"/>
      <c r="F22" s="487"/>
      <c r="G22" s="17"/>
      <c r="H22" s="186"/>
      <c r="I22" s="484"/>
      <c r="J22" s="484"/>
      <c r="K22" s="30"/>
      <c r="L22" s="64"/>
      <c r="M22" s="65"/>
      <c r="N22" s="145"/>
      <c r="O22" s="145"/>
      <c r="P22" s="145"/>
      <c r="R22" s="19">
        <v>1</v>
      </c>
      <c r="S22" s="19" t="s">
        <v>34</v>
      </c>
      <c r="T22" s="19" t="s">
        <v>79</v>
      </c>
      <c r="V22" s="19">
        <v>12</v>
      </c>
      <c r="W22" s="19">
        <v>12</v>
      </c>
    </row>
    <row r="23" spans="2:23" ht="20.149999999999999" customHeight="1" x14ac:dyDescent="0.45">
      <c r="B23" s="29"/>
      <c r="C23" s="17"/>
      <c r="D23" s="487"/>
      <c r="E23" s="487"/>
      <c r="F23" s="487"/>
      <c r="G23" s="17"/>
      <c r="H23" s="186"/>
      <c r="I23" s="484"/>
      <c r="J23" s="484"/>
      <c r="K23" s="30"/>
      <c r="L23" s="64"/>
      <c r="M23" s="65"/>
      <c r="N23" s="145"/>
      <c r="O23" s="145"/>
      <c r="P23" s="145"/>
      <c r="R23" s="19">
        <v>1</v>
      </c>
      <c r="S23" s="19" t="s">
        <v>34</v>
      </c>
      <c r="T23" s="19" t="s">
        <v>59</v>
      </c>
      <c r="V23" s="19">
        <v>6</v>
      </c>
      <c r="W23" s="19">
        <v>12</v>
      </c>
    </row>
    <row r="24" spans="2:23" ht="20.149999999999999" customHeight="1" x14ac:dyDescent="0.45">
      <c r="B24" s="29"/>
      <c r="C24" s="17"/>
      <c r="D24" s="487"/>
      <c r="E24" s="487"/>
      <c r="F24" s="487"/>
      <c r="G24" s="17"/>
      <c r="H24" s="56"/>
      <c r="I24" s="458"/>
      <c r="J24" s="458"/>
      <c r="K24" s="30"/>
      <c r="L24" s="64"/>
      <c r="M24" s="65"/>
      <c r="R24" s="19">
        <v>20</v>
      </c>
      <c r="S24" s="19" t="s">
        <v>34</v>
      </c>
      <c r="T24" s="19" t="s">
        <v>32</v>
      </c>
      <c r="V24" s="19">
        <v>1.8</v>
      </c>
      <c r="W24" s="19">
        <v>36</v>
      </c>
    </row>
    <row r="25" spans="2:23" ht="20.149999999999999" customHeight="1" x14ac:dyDescent="0.45">
      <c r="B25" s="29"/>
      <c r="C25" s="17"/>
      <c r="D25" s="487"/>
      <c r="E25" s="487"/>
      <c r="F25" s="487"/>
      <c r="G25" s="17"/>
      <c r="H25" s="56"/>
      <c r="I25" s="458"/>
      <c r="J25" s="458"/>
      <c r="K25" s="30"/>
      <c r="L25" s="64"/>
      <c r="M25" s="65"/>
    </row>
    <row r="26" spans="2:23" ht="20.149999999999999" customHeight="1" x14ac:dyDescent="0.45">
      <c r="B26" s="29"/>
      <c r="C26" s="17"/>
      <c r="D26" s="487"/>
      <c r="E26" s="487"/>
      <c r="F26" s="487"/>
      <c r="G26" s="17"/>
      <c r="H26" s="56"/>
      <c r="I26" s="458"/>
      <c r="J26" s="458"/>
      <c r="K26" s="30"/>
      <c r="L26" s="64"/>
      <c r="M26" s="65"/>
    </row>
    <row r="27" spans="2:23" ht="20.149999999999999" customHeight="1" x14ac:dyDescent="0.45">
      <c r="B27" s="29"/>
      <c r="C27" s="17"/>
      <c r="D27" s="487"/>
      <c r="E27" s="487"/>
      <c r="F27" s="487"/>
      <c r="G27" s="17"/>
      <c r="H27" s="56"/>
      <c r="I27" s="458"/>
      <c r="J27" s="458"/>
      <c r="K27" s="30"/>
      <c r="L27" s="64"/>
      <c r="M27" s="65"/>
    </row>
    <row r="28" spans="2:23" ht="20.149999999999999" customHeight="1" x14ac:dyDescent="0.45">
      <c r="B28" s="29"/>
      <c r="C28" s="17"/>
      <c r="D28" s="487"/>
      <c r="E28" s="487"/>
      <c r="F28" s="487"/>
      <c r="G28" s="17"/>
      <c r="H28" s="56"/>
      <c r="I28" s="458"/>
      <c r="J28" s="458"/>
      <c r="K28" s="30"/>
      <c r="L28" s="31"/>
    </row>
    <row r="29" spans="2:23" ht="20.149999999999999" customHeight="1" thickBot="1" x14ac:dyDescent="0.5">
      <c r="B29" s="32"/>
      <c r="C29" s="33"/>
      <c r="D29" s="488"/>
      <c r="E29" s="488"/>
      <c r="F29" s="488"/>
      <c r="G29" s="33"/>
      <c r="H29" s="57"/>
      <c r="I29" s="459"/>
      <c r="J29" s="459"/>
      <c r="K29" s="34"/>
      <c r="L29" s="35"/>
    </row>
    <row r="30" spans="2:23" ht="20.149999999999999" customHeight="1" thickBot="1" x14ac:dyDescent="0.5">
      <c r="B30" s="36"/>
      <c r="L30" s="37"/>
    </row>
    <row r="31" spans="2:2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89" t="s">
        <v>13</v>
      </c>
      <c r="K31" s="490"/>
      <c r="L31" s="38">
        <f>SUM(L17:L29)</f>
        <v>56.3</v>
      </c>
      <c r="M31" s="63">
        <f>SUM(P18:P29)-L31*0.02</f>
        <v>18.265666666666661</v>
      </c>
      <c r="N31" s="133">
        <f>M31/L31</f>
        <v>0.32443457667258724</v>
      </c>
    </row>
    <row r="32" spans="2:2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91" t="s">
        <v>19</v>
      </c>
      <c r="K33" s="492"/>
      <c r="L33" s="41">
        <f>L31-L32</f>
        <v>56.3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5.0669999999999993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85" t="s">
        <v>21</v>
      </c>
      <c r="K35" s="486"/>
      <c r="L35" s="43">
        <f>L33+L34</f>
        <v>61.366999999999997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35:K35"/>
    <mergeCell ref="D28:F28"/>
    <mergeCell ref="I28:J28"/>
    <mergeCell ref="D29:F29"/>
    <mergeCell ref="I29:J29"/>
    <mergeCell ref="J31:K31"/>
    <mergeCell ref="J33:K33"/>
  </mergeCells>
  <pageMargins left="0.70866141732283505" right="0.31496062992126" top="0.59055118110236204" bottom="0" header="0.31496062992126" footer="0.31496062992126"/>
  <pageSetup paperSize="9" scale="77" orientation="portrait" horizontalDpi="300" verticalDpi="300" r:id="rId1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CD51F-D0F0-4075-95F8-C08EAECBF6D1}">
  <sheetPr>
    <tabColor rgb="FFFFC000"/>
    <pageSetUpPr fitToPage="1"/>
  </sheetPr>
  <dimension ref="B1:W43"/>
  <sheetViews>
    <sheetView workbookViewId="0">
      <selection activeCell="D19" sqref="D19:F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54296875" style="19" customWidth="1"/>
    <col min="9" max="9" width="1.45312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1853</v>
      </c>
      <c r="J10" s="24" t="s">
        <v>27</v>
      </c>
      <c r="K10" s="464">
        <v>202402174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Koufu - Drink                                             Blk 57 Dawson Road, #02-09/10 Dawson Place, Singapore 142057</v>
      </c>
      <c r="G11" s="470"/>
      <c r="H11" s="471"/>
      <c r="J11" s="26" t="s">
        <v>9</v>
      </c>
      <c r="K11" s="478">
        <v>45328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2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7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3" ht="20.149999999999999" customHeight="1" x14ac:dyDescent="0.45">
      <c r="B18" s="29"/>
      <c r="C18" s="212" t="s">
        <v>931</v>
      </c>
      <c r="D18" s="487" t="str">
        <f>VLOOKUP(C18,'Sales Master'!B$3:D$537,2,)</f>
        <v>Longan in Syrup 龙眼</v>
      </c>
      <c r="E18" s="487"/>
      <c r="F18" s="487"/>
      <c r="G18" s="17">
        <v>1</v>
      </c>
      <c r="H18" s="186" t="str">
        <f>VLOOKUP(C18,'Sales Master'!$B$3:$F$2488,5,0)</f>
        <v>(565gm x 12)/ Ctn箱</v>
      </c>
      <c r="I18" s="484" t="str">
        <f>VLOOKUP(C18,'Sales Master'!$B$3:$E$2488,4,0)</f>
        <v>Royal Orchid</v>
      </c>
      <c r="J18" s="484"/>
      <c r="K18" s="30">
        <f>VLOOKUP(C18,'Sales Master'!B$3:J$537,9,0)</f>
        <v>0</v>
      </c>
      <c r="L18" s="64">
        <f>K18*G18</f>
        <v>0</v>
      </c>
      <c r="M18" s="65"/>
      <c r="N18" s="145">
        <f>VLOOKUP(C18,'Sales Master'!$B$3:$DA$2279,104,0)</f>
        <v>18</v>
      </c>
      <c r="O18" s="145">
        <f>K18-N18</f>
        <v>-18</v>
      </c>
      <c r="P18" s="145">
        <f>O18*G18</f>
        <v>-18</v>
      </c>
    </row>
    <row r="19" spans="2:23" ht="20.149999999999999" customHeight="1" x14ac:dyDescent="0.45">
      <c r="B19" s="29"/>
      <c r="C19" s="212" t="s">
        <v>937</v>
      </c>
      <c r="D19" s="487" t="str">
        <f>VLOOKUP(C19,'Sales Master'!B$3:D$537,2,)</f>
        <v>Lychee in Syrup 荔枝</v>
      </c>
      <c r="E19" s="487"/>
      <c r="F19" s="487"/>
      <c r="G19" s="17">
        <v>1</v>
      </c>
      <c r="H19" s="186" t="str">
        <f>VLOOKUP(C19,'Sales Master'!$B$3:$F$2488,5,0)</f>
        <v>12 CAN/CARTON</v>
      </c>
      <c r="I19" s="484" t="str">
        <f>VLOOKUP(C19,'Sales Master'!$B$3:$E$2488,4,0)</f>
        <v>Statue</v>
      </c>
      <c r="J19" s="484"/>
      <c r="K19" s="30">
        <f>VLOOKUP(C19,'Sales Master'!B$3:J$537,9,0)</f>
        <v>22</v>
      </c>
      <c r="L19" s="64">
        <f>K19*G19</f>
        <v>22</v>
      </c>
      <c r="M19" s="65"/>
      <c r="N19" s="145">
        <f>VLOOKUP(C19,'Sales Master'!$B$3:$DA$2279,104,0)</f>
        <v>16.5</v>
      </c>
      <c r="O19" s="145">
        <f>K19-N19</f>
        <v>5.5</v>
      </c>
      <c r="P19" s="145">
        <f>O19*G19</f>
        <v>5.5</v>
      </c>
      <c r="R19" s="19">
        <v>2</v>
      </c>
      <c r="S19" s="19" t="s">
        <v>54</v>
      </c>
      <c r="T19" s="19" t="s">
        <v>328</v>
      </c>
      <c r="V19" s="19">
        <v>9</v>
      </c>
      <c r="W19" s="19">
        <v>18</v>
      </c>
    </row>
    <row r="20" spans="2:23" ht="20.149999999999999" customHeight="1" x14ac:dyDescent="0.45">
      <c r="B20" s="29"/>
      <c r="C20" s="147"/>
      <c r="D20" s="487"/>
      <c r="E20" s="487"/>
      <c r="F20" s="487"/>
      <c r="G20" s="17"/>
      <c r="H20" s="186"/>
      <c r="I20" s="484"/>
      <c r="J20" s="484"/>
      <c r="K20" s="30"/>
      <c r="L20" s="64"/>
      <c r="M20" s="65"/>
      <c r="N20" s="145"/>
      <c r="O20" s="145"/>
      <c r="P20" s="145"/>
      <c r="R20" s="19">
        <v>1</v>
      </c>
      <c r="S20" s="19" t="s">
        <v>367</v>
      </c>
      <c r="T20" s="19" t="s">
        <v>429</v>
      </c>
      <c r="V20" s="19">
        <v>32</v>
      </c>
      <c r="W20" s="19">
        <v>32</v>
      </c>
    </row>
    <row r="21" spans="2:23" ht="20.149999999999999" customHeight="1" x14ac:dyDescent="0.45">
      <c r="B21" s="29"/>
      <c r="C21" s="147"/>
      <c r="D21" s="487"/>
      <c r="E21" s="487"/>
      <c r="F21" s="487"/>
      <c r="G21" s="17"/>
      <c r="H21" s="186"/>
      <c r="I21" s="484"/>
      <c r="J21" s="484"/>
      <c r="K21" s="30"/>
      <c r="L21" s="64"/>
      <c r="M21" s="65"/>
      <c r="N21" s="145"/>
      <c r="O21" s="145"/>
      <c r="P21" s="145"/>
      <c r="R21" s="19">
        <v>1</v>
      </c>
      <c r="S21" s="19" t="s">
        <v>367</v>
      </c>
      <c r="T21" s="19" t="s">
        <v>431</v>
      </c>
      <c r="V21" s="19">
        <v>26</v>
      </c>
      <c r="W21" s="19">
        <v>26</v>
      </c>
    </row>
    <row r="22" spans="2:23" ht="20.149999999999999" customHeight="1" x14ac:dyDescent="0.45">
      <c r="B22" s="29"/>
      <c r="C22" s="17"/>
      <c r="D22" s="487"/>
      <c r="E22" s="487"/>
      <c r="F22" s="487"/>
      <c r="G22" s="17"/>
      <c r="H22" s="186"/>
      <c r="I22" s="484"/>
      <c r="J22" s="484"/>
      <c r="K22" s="30"/>
      <c r="L22" s="64"/>
      <c r="M22" s="65"/>
      <c r="N22" s="145"/>
      <c r="O22" s="145"/>
      <c r="P22" s="145"/>
      <c r="R22" s="19">
        <v>1</v>
      </c>
      <c r="S22" s="19" t="s">
        <v>34</v>
      </c>
      <c r="T22" s="19" t="s">
        <v>79</v>
      </c>
      <c r="V22" s="19">
        <v>12</v>
      </c>
      <c r="W22" s="19">
        <v>12</v>
      </c>
    </row>
    <row r="23" spans="2:23" ht="20.149999999999999" customHeight="1" x14ac:dyDescent="0.45">
      <c r="B23" s="29"/>
      <c r="C23" s="17"/>
      <c r="D23" s="487"/>
      <c r="E23" s="487"/>
      <c r="F23" s="487"/>
      <c r="G23" s="17"/>
      <c r="H23" s="186"/>
      <c r="I23" s="484"/>
      <c r="J23" s="484"/>
      <c r="K23" s="30"/>
      <c r="L23" s="64"/>
      <c r="M23" s="65"/>
      <c r="N23" s="145"/>
      <c r="O23" s="145"/>
      <c r="P23" s="145"/>
      <c r="R23" s="19">
        <v>1</v>
      </c>
      <c r="S23" s="19" t="s">
        <v>34</v>
      </c>
      <c r="T23" s="19" t="s">
        <v>59</v>
      </c>
      <c r="V23" s="19">
        <v>6</v>
      </c>
      <c r="W23" s="19">
        <v>12</v>
      </c>
    </row>
    <row r="24" spans="2:23" ht="20.149999999999999" customHeight="1" x14ac:dyDescent="0.45">
      <c r="B24" s="29"/>
      <c r="C24" s="17"/>
      <c r="D24" s="487"/>
      <c r="E24" s="487"/>
      <c r="F24" s="487"/>
      <c r="G24" s="17"/>
      <c r="H24" s="56"/>
      <c r="I24" s="458"/>
      <c r="J24" s="458"/>
      <c r="K24" s="30"/>
      <c r="L24" s="64"/>
      <c r="M24" s="65"/>
      <c r="R24" s="19">
        <v>20</v>
      </c>
      <c r="S24" s="19" t="s">
        <v>34</v>
      </c>
      <c r="T24" s="19" t="s">
        <v>32</v>
      </c>
      <c r="V24" s="19">
        <v>1.8</v>
      </c>
      <c r="W24" s="19">
        <v>36</v>
      </c>
    </row>
    <row r="25" spans="2:23" ht="20.149999999999999" customHeight="1" x14ac:dyDescent="0.45">
      <c r="B25" s="29"/>
      <c r="C25" s="17"/>
      <c r="D25" s="487"/>
      <c r="E25" s="487"/>
      <c r="F25" s="487"/>
      <c r="G25" s="17"/>
      <c r="H25" s="56"/>
      <c r="I25" s="458"/>
      <c r="J25" s="458"/>
      <c r="K25" s="30"/>
      <c r="L25" s="64"/>
      <c r="M25" s="65"/>
    </row>
    <row r="26" spans="2:23" ht="20.149999999999999" customHeight="1" x14ac:dyDescent="0.45">
      <c r="B26" s="29"/>
      <c r="C26" s="17"/>
      <c r="D26" s="487"/>
      <c r="E26" s="487"/>
      <c r="F26" s="487"/>
      <c r="G26" s="17"/>
      <c r="H26" s="56"/>
      <c r="I26" s="458"/>
      <c r="J26" s="458"/>
      <c r="K26" s="30"/>
      <c r="L26" s="64"/>
      <c r="M26" s="65"/>
    </row>
    <row r="27" spans="2:23" ht="20.149999999999999" customHeight="1" x14ac:dyDescent="0.45">
      <c r="B27" s="29"/>
      <c r="C27" s="17"/>
      <c r="D27" s="487"/>
      <c r="E27" s="487"/>
      <c r="F27" s="487"/>
      <c r="G27" s="17"/>
      <c r="H27" s="56"/>
      <c r="I27" s="458"/>
      <c r="J27" s="458"/>
      <c r="K27" s="30"/>
      <c r="L27" s="64"/>
      <c r="M27" s="65"/>
    </row>
    <row r="28" spans="2:23" ht="20.149999999999999" customHeight="1" x14ac:dyDescent="0.45">
      <c r="B28" s="29"/>
      <c r="C28" s="17"/>
      <c r="D28" s="487"/>
      <c r="E28" s="487"/>
      <c r="F28" s="487"/>
      <c r="G28" s="17"/>
      <c r="H28" s="56"/>
      <c r="I28" s="458"/>
      <c r="J28" s="458"/>
      <c r="K28" s="30"/>
      <c r="L28" s="31"/>
    </row>
    <row r="29" spans="2:23" ht="20.149999999999999" customHeight="1" thickBot="1" x14ac:dyDescent="0.5">
      <c r="B29" s="32"/>
      <c r="C29" s="33"/>
      <c r="D29" s="488"/>
      <c r="E29" s="488"/>
      <c r="F29" s="488"/>
      <c r="G29" s="33"/>
      <c r="H29" s="57"/>
      <c r="I29" s="459"/>
      <c r="J29" s="459"/>
      <c r="K29" s="34"/>
      <c r="L29" s="35"/>
    </row>
    <row r="30" spans="2:23" ht="20.149999999999999" customHeight="1" thickBot="1" x14ac:dyDescent="0.5">
      <c r="B30" s="36"/>
      <c r="L30" s="37"/>
    </row>
    <row r="31" spans="2:2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89" t="s">
        <v>13</v>
      </c>
      <c r="K31" s="490"/>
      <c r="L31" s="38">
        <f>SUM(L17:L29)</f>
        <v>22</v>
      </c>
      <c r="M31" s="63">
        <f>SUM(P18:P29)-L31*0.02</f>
        <v>-12.94</v>
      </c>
      <c r="N31" s="133">
        <f>M31/L31</f>
        <v>-0.58818181818181814</v>
      </c>
    </row>
    <row r="32" spans="2:2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91" t="s">
        <v>19</v>
      </c>
      <c r="K33" s="492"/>
      <c r="L33" s="41">
        <f>L31-L32</f>
        <v>22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1.98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85" t="s">
        <v>21</v>
      </c>
      <c r="K35" s="486"/>
      <c r="L35" s="43">
        <f>L33+L34</f>
        <v>23.98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35:K35"/>
    <mergeCell ref="D28:F28"/>
    <mergeCell ref="I28:J28"/>
    <mergeCell ref="D29:F29"/>
    <mergeCell ref="I29:J29"/>
    <mergeCell ref="J31:K31"/>
    <mergeCell ref="J33:K33"/>
  </mergeCells>
  <pageMargins left="0.70866141732283505" right="0.31496062992126" top="0.59055118110236204" bottom="0" header="0.31496062992126" footer="0.31496062992126"/>
  <pageSetup paperSize="9" scale="77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256E7-94ED-4E96-B096-501648276FEA}">
  <sheetPr codeName="Sheet16" filterMode="1">
    <tabColor rgb="FF00B050"/>
    <pageSetUpPr fitToPage="1"/>
  </sheetPr>
  <dimension ref="A1:P275"/>
  <sheetViews>
    <sheetView zoomScaleNormal="100" workbookViewId="0">
      <selection activeCell="A45" sqref="A45"/>
    </sheetView>
  </sheetViews>
  <sheetFormatPr defaultRowHeight="14.5" x14ac:dyDescent="0.35"/>
  <cols>
    <col min="11" max="11" width="9.81640625" customWidth="1"/>
    <col min="14" max="14" width="32.453125" customWidth="1"/>
    <col min="15" max="15" width="15.453125" customWidth="1"/>
    <col min="16" max="16" width="8.7265625" style="16"/>
  </cols>
  <sheetData>
    <row r="1" spans="1:16" x14ac:dyDescent="0.35">
      <c r="A1" s="14" t="s">
        <v>66</v>
      </c>
    </row>
    <row r="2" spans="1:16" ht="14.15" customHeight="1" x14ac:dyDescent="0.35"/>
    <row r="3" spans="1:16" ht="30" customHeight="1" x14ac:dyDescent="0.35">
      <c r="A3" s="54" t="s">
        <v>67</v>
      </c>
      <c r="B3" s="443" t="s">
        <v>66</v>
      </c>
      <c r="C3" s="443"/>
      <c r="D3" s="443"/>
      <c r="E3" s="443"/>
      <c r="F3" s="443"/>
      <c r="G3" s="443"/>
      <c r="H3" s="443"/>
      <c r="I3" s="443"/>
      <c r="J3" s="443"/>
      <c r="K3" s="443"/>
      <c r="L3" s="443"/>
      <c r="M3" s="443"/>
      <c r="N3" s="443"/>
      <c r="O3" s="262" t="s">
        <v>142</v>
      </c>
      <c r="P3" s="55" t="s">
        <v>267</v>
      </c>
    </row>
    <row r="4" spans="1:16" ht="20.149999999999999" hidden="1" customHeight="1" x14ac:dyDescent="0.35">
      <c r="A4" s="171" t="s">
        <v>98</v>
      </c>
      <c r="B4" s="422" t="s">
        <v>1874</v>
      </c>
      <c r="C4" s="422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1" t="s">
        <v>96</v>
      </c>
      <c r="P4" s="53" t="s">
        <v>268</v>
      </c>
    </row>
    <row r="5" spans="1:16" ht="20.149999999999999" hidden="1" customHeight="1" x14ac:dyDescent="0.35">
      <c r="A5" s="171" t="s">
        <v>68</v>
      </c>
      <c r="B5" s="422" t="s">
        <v>1404</v>
      </c>
      <c r="C5" s="422"/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1" t="s">
        <v>96</v>
      </c>
      <c r="P5" s="53" t="s">
        <v>268</v>
      </c>
    </row>
    <row r="6" spans="1:16" ht="20.149999999999999" hidden="1" customHeight="1" x14ac:dyDescent="0.35">
      <c r="A6" s="171" t="s">
        <v>69</v>
      </c>
      <c r="B6" s="422" t="s">
        <v>1405</v>
      </c>
      <c r="C6" s="422"/>
      <c r="D6" s="422"/>
      <c r="E6" s="422"/>
      <c r="F6" s="422"/>
      <c r="G6" s="422"/>
      <c r="H6" s="422"/>
      <c r="I6" s="422"/>
      <c r="J6" s="422"/>
      <c r="K6" s="422"/>
      <c r="L6" s="422"/>
      <c r="M6" s="422"/>
      <c r="N6" s="422"/>
      <c r="O6" s="1" t="s">
        <v>96</v>
      </c>
      <c r="P6" s="53" t="s">
        <v>268</v>
      </c>
    </row>
    <row r="7" spans="1:16" ht="20.149999999999999" hidden="1" customHeight="1" x14ac:dyDescent="0.35">
      <c r="A7" s="171" t="s">
        <v>70</v>
      </c>
      <c r="B7" s="422" t="s">
        <v>1876</v>
      </c>
      <c r="C7" s="422"/>
      <c r="D7" s="422"/>
      <c r="E7" s="422"/>
      <c r="F7" s="422"/>
      <c r="G7" s="422"/>
      <c r="H7" s="422"/>
      <c r="I7" s="422"/>
      <c r="J7" s="422"/>
      <c r="K7" s="422"/>
      <c r="L7" s="422"/>
      <c r="M7" s="422"/>
      <c r="N7" s="422"/>
      <c r="O7" s="1" t="s">
        <v>96</v>
      </c>
      <c r="P7" s="53" t="s">
        <v>268</v>
      </c>
    </row>
    <row r="8" spans="1:16" ht="20.149999999999999" hidden="1" customHeight="1" x14ac:dyDescent="0.35">
      <c r="A8" s="171" t="s">
        <v>71</v>
      </c>
      <c r="B8" s="422" t="s">
        <v>1875</v>
      </c>
      <c r="C8" s="422"/>
      <c r="D8" s="422"/>
      <c r="E8" s="422"/>
      <c r="F8" s="422"/>
      <c r="G8" s="422"/>
      <c r="H8" s="422"/>
      <c r="I8" s="422"/>
      <c r="J8" s="422"/>
      <c r="K8" s="422"/>
      <c r="L8" s="422"/>
      <c r="M8" s="422"/>
      <c r="N8" s="422"/>
      <c r="O8" s="1" t="s">
        <v>96</v>
      </c>
      <c r="P8" s="53" t="s">
        <v>268</v>
      </c>
    </row>
    <row r="9" spans="1:16" ht="20.149999999999999" hidden="1" customHeight="1" x14ac:dyDescent="0.35">
      <c r="A9" s="171" t="s">
        <v>75</v>
      </c>
      <c r="B9" s="422" t="s">
        <v>465</v>
      </c>
      <c r="C9" s="422"/>
      <c r="D9" s="422"/>
      <c r="E9" s="422"/>
      <c r="F9" s="422"/>
      <c r="G9" s="422"/>
      <c r="H9" s="422"/>
      <c r="I9" s="422"/>
      <c r="J9" s="422"/>
      <c r="K9" s="422"/>
      <c r="L9" s="422"/>
      <c r="M9" s="422"/>
      <c r="N9" s="422"/>
      <c r="O9" s="1" t="s">
        <v>96</v>
      </c>
      <c r="P9" s="53" t="s">
        <v>268</v>
      </c>
    </row>
    <row r="10" spans="1:16" ht="20.149999999999999" hidden="1" customHeight="1" x14ac:dyDescent="0.35">
      <c r="A10" s="171" t="s">
        <v>76</v>
      </c>
      <c r="B10" s="422" t="s">
        <v>491</v>
      </c>
      <c r="C10" s="422"/>
      <c r="D10" s="422"/>
      <c r="E10" s="422"/>
      <c r="F10" s="422"/>
      <c r="G10" s="422"/>
      <c r="H10" s="422"/>
      <c r="I10" s="422"/>
      <c r="J10" s="422"/>
      <c r="K10" s="422"/>
      <c r="L10" s="422"/>
      <c r="M10" s="422"/>
      <c r="N10" s="422"/>
      <c r="O10" s="1" t="s">
        <v>96</v>
      </c>
      <c r="P10" s="53" t="s">
        <v>268</v>
      </c>
    </row>
    <row r="11" spans="1:16" ht="20.149999999999999" hidden="1" customHeight="1" x14ac:dyDescent="0.35">
      <c r="A11" s="171" t="s">
        <v>99</v>
      </c>
      <c r="B11" s="422" t="s">
        <v>2298</v>
      </c>
      <c r="C11" s="422"/>
      <c r="D11" s="422"/>
      <c r="E11" s="422"/>
      <c r="F11" s="422"/>
      <c r="G11" s="422"/>
      <c r="H11" s="422"/>
      <c r="I11" s="422"/>
      <c r="J11" s="422"/>
      <c r="K11" s="422"/>
      <c r="L11" s="422"/>
      <c r="M11" s="422"/>
      <c r="N11" s="422"/>
      <c r="O11" s="1" t="s">
        <v>194</v>
      </c>
      <c r="P11" s="53" t="s">
        <v>268</v>
      </c>
    </row>
    <row r="12" spans="1:16" ht="20.149999999999999" hidden="1" customHeight="1" x14ac:dyDescent="0.35">
      <c r="A12" s="79" t="s">
        <v>100</v>
      </c>
      <c r="B12" s="425" t="s">
        <v>1691</v>
      </c>
      <c r="C12" s="425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13" t="s">
        <v>1773</v>
      </c>
      <c r="P12" s="53"/>
    </row>
    <row r="13" spans="1:16" ht="20.149999999999999" hidden="1" customHeight="1" x14ac:dyDescent="0.35">
      <c r="A13" s="171" t="s">
        <v>101</v>
      </c>
      <c r="B13" s="422" t="s">
        <v>1953</v>
      </c>
      <c r="C13" s="422"/>
      <c r="D13" s="422"/>
      <c r="E13" s="422"/>
      <c r="F13" s="422"/>
      <c r="G13" s="422"/>
      <c r="H13" s="422"/>
      <c r="I13" s="422"/>
      <c r="J13" s="422"/>
      <c r="K13" s="422"/>
      <c r="L13" s="422"/>
      <c r="M13" s="422"/>
      <c r="N13" s="422"/>
      <c r="O13" s="13" t="s">
        <v>95</v>
      </c>
      <c r="P13" s="53" t="s">
        <v>268</v>
      </c>
    </row>
    <row r="14" spans="1:16" ht="20.149999999999999" hidden="1" customHeight="1" x14ac:dyDescent="0.35">
      <c r="A14" s="171" t="s">
        <v>102</v>
      </c>
      <c r="B14" s="422" t="s">
        <v>1506</v>
      </c>
      <c r="C14" s="422"/>
      <c r="D14" s="422"/>
      <c r="E14" s="422"/>
      <c r="F14" s="422"/>
      <c r="G14" s="422"/>
      <c r="H14" s="422"/>
      <c r="I14" s="422"/>
      <c r="J14" s="422"/>
      <c r="K14" s="422"/>
      <c r="L14" s="422"/>
      <c r="M14" s="422"/>
      <c r="N14" s="422"/>
      <c r="O14" s="1" t="s">
        <v>96</v>
      </c>
      <c r="P14" s="53"/>
    </row>
    <row r="15" spans="1:16" ht="20.149999999999999" hidden="1" customHeight="1" x14ac:dyDescent="0.35">
      <c r="A15" s="171" t="s">
        <v>103</v>
      </c>
      <c r="B15" s="442" t="s">
        <v>1957</v>
      </c>
      <c r="C15" s="442"/>
      <c r="D15" s="442"/>
      <c r="E15" s="442"/>
      <c r="F15" s="442"/>
      <c r="G15" s="442"/>
      <c r="H15" s="442"/>
      <c r="I15" s="442"/>
      <c r="J15" s="442"/>
      <c r="K15" s="442"/>
      <c r="L15" s="442"/>
      <c r="M15" s="442"/>
      <c r="N15" s="442"/>
      <c r="O15" s="12"/>
      <c r="P15" s="53" t="s">
        <v>268</v>
      </c>
    </row>
    <row r="16" spans="1:16" ht="20.149999999999999" hidden="1" customHeight="1" x14ac:dyDescent="0.35">
      <c r="A16" s="171" t="s">
        <v>104</v>
      </c>
      <c r="B16" s="422" t="s">
        <v>2176</v>
      </c>
      <c r="C16" s="422"/>
      <c r="D16" s="422"/>
      <c r="E16" s="422"/>
      <c r="F16" s="422"/>
      <c r="G16" s="422"/>
      <c r="H16" s="422"/>
      <c r="I16" s="422"/>
      <c r="J16" s="422"/>
      <c r="K16" s="422"/>
      <c r="L16" s="422"/>
      <c r="M16" s="422"/>
      <c r="N16" s="422"/>
      <c r="O16" s="13" t="s">
        <v>95</v>
      </c>
      <c r="P16" s="53" t="s">
        <v>268</v>
      </c>
    </row>
    <row r="17" spans="1:16" ht="20.149999999999999" hidden="1" customHeight="1" x14ac:dyDescent="0.35">
      <c r="A17" s="171" t="s">
        <v>105</v>
      </c>
      <c r="B17" s="437" t="s">
        <v>195</v>
      </c>
      <c r="C17" s="437"/>
      <c r="D17" s="437"/>
      <c r="E17" s="437"/>
      <c r="F17" s="437"/>
      <c r="G17" s="437"/>
      <c r="H17" s="437"/>
      <c r="I17" s="437"/>
      <c r="J17" s="437"/>
      <c r="K17" s="437"/>
      <c r="L17" s="437"/>
      <c r="M17" s="437"/>
      <c r="N17" s="437"/>
      <c r="O17" s="12" t="s">
        <v>139</v>
      </c>
      <c r="P17" s="53" t="s">
        <v>268</v>
      </c>
    </row>
    <row r="18" spans="1:16" ht="20.149999999999999" hidden="1" customHeight="1" x14ac:dyDescent="0.35">
      <c r="A18" s="171" t="s">
        <v>106</v>
      </c>
      <c r="B18" s="422" t="s">
        <v>466</v>
      </c>
      <c r="C18" s="422"/>
      <c r="D18" s="422"/>
      <c r="E18" s="422"/>
      <c r="F18" s="422"/>
      <c r="G18" s="422"/>
      <c r="H18" s="422"/>
      <c r="I18" s="422"/>
      <c r="J18" s="422"/>
      <c r="K18" s="422"/>
      <c r="L18" s="422"/>
      <c r="M18" s="422"/>
      <c r="N18" s="422"/>
      <c r="O18" s="1" t="s">
        <v>96</v>
      </c>
      <c r="P18" s="53" t="s">
        <v>268</v>
      </c>
    </row>
    <row r="19" spans="1:16" ht="20.149999999999999" hidden="1" customHeight="1" x14ac:dyDescent="0.35">
      <c r="A19" s="171" t="s">
        <v>107</v>
      </c>
      <c r="B19" s="422" t="s">
        <v>467</v>
      </c>
      <c r="C19" s="422"/>
      <c r="D19" s="422"/>
      <c r="E19" s="422"/>
      <c r="F19" s="422"/>
      <c r="G19" s="422"/>
      <c r="H19" s="422"/>
      <c r="I19" s="422"/>
      <c r="J19" s="422"/>
      <c r="K19" s="422"/>
      <c r="L19" s="422"/>
      <c r="M19" s="422"/>
      <c r="N19" s="422"/>
      <c r="O19" s="1" t="s">
        <v>96</v>
      </c>
      <c r="P19" s="53" t="s">
        <v>268</v>
      </c>
    </row>
    <row r="20" spans="1:16" ht="20.149999999999999" hidden="1" customHeight="1" x14ac:dyDescent="0.35">
      <c r="A20" s="171" t="s">
        <v>108</v>
      </c>
      <c r="B20" s="422" t="s">
        <v>1489</v>
      </c>
      <c r="C20" s="422"/>
      <c r="D20" s="422"/>
      <c r="E20" s="422"/>
      <c r="F20" s="422"/>
      <c r="G20" s="422"/>
      <c r="H20" s="422"/>
      <c r="I20" s="422"/>
      <c r="J20" s="422"/>
      <c r="K20" s="422"/>
      <c r="L20" s="422"/>
      <c r="M20" s="422"/>
      <c r="N20" s="422"/>
      <c r="O20" s="1" t="s">
        <v>96</v>
      </c>
      <c r="P20" s="53" t="s">
        <v>268</v>
      </c>
    </row>
    <row r="21" spans="1:16" ht="20.149999999999999" hidden="1" customHeight="1" x14ac:dyDescent="0.35">
      <c r="A21" s="171" t="s">
        <v>109</v>
      </c>
      <c r="B21" s="422" t="s">
        <v>1551</v>
      </c>
      <c r="C21" s="422"/>
      <c r="D21" s="422"/>
      <c r="E21" s="422"/>
      <c r="F21" s="422"/>
      <c r="G21" s="422"/>
      <c r="H21" s="422"/>
      <c r="I21" s="422"/>
      <c r="J21" s="422"/>
      <c r="K21" s="422"/>
      <c r="L21" s="422"/>
      <c r="M21" s="422"/>
      <c r="N21" s="422"/>
      <c r="O21" s="1" t="s">
        <v>194</v>
      </c>
      <c r="P21" s="53"/>
    </row>
    <row r="22" spans="1:16" ht="20.149999999999999" hidden="1" customHeight="1" x14ac:dyDescent="0.35">
      <c r="A22" s="171" t="s">
        <v>110</v>
      </c>
      <c r="B22" s="431" t="s">
        <v>1860</v>
      </c>
      <c r="C22" s="432"/>
      <c r="D22" s="432"/>
      <c r="E22" s="432"/>
      <c r="F22" s="432"/>
      <c r="G22" s="432"/>
      <c r="H22" s="432"/>
      <c r="I22" s="432"/>
      <c r="J22" s="432"/>
      <c r="K22" s="432"/>
      <c r="L22" s="432"/>
      <c r="M22" s="432"/>
      <c r="N22" s="433"/>
      <c r="O22" s="13" t="s">
        <v>194</v>
      </c>
      <c r="P22" s="53"/>
    </row>
    <row r="23" spans="1:16" ht="20.149999999999999" hidden="1" customHeight="1" x14ac:dyDescent="0.35">
      <c r="A23" s="171" t="s">
        <v>111</v>
      </c>
      <c r="B23" s="437" t="s">
        <v>140</v>
      </c>
      <c r="C23" s="437"/>
      <c r="D23" s="437"/>
      <c r="E23" s="437"/>
      <c r="F23" s="437"/>
      <c r="G23" s="437"/>
      <c r="H23" s="437"/>
      <c r="I23" s="437"/>
      <c r="J23" s="437"/>
      <c r="K23" s="437"/>
      <c r="L23" s="437"/>
      <c r="M23" s="437"/>
      <c r="N23" s="437"/>
      <c r="O23" s="11" t="s">
        <v>139</v>
      </c>
      <c r="P23" s="53" t="s">
        <v>268</v>
      </c>
    </row>
    <row r="24" spans="1:16" ht="20.149999999999999" hidden="1" customHeight="1" x14ac:dyDescent="0.35">
      <c r="A24" s="171" t="s">
        <v>112</v>
      </c>
      <c r="B24" s="422" t="s">
        <v>1669</v>
      </c>
      <c r="C24" s="422"/>
      <c r="D24" s="422"/>
      <c r="E24" s="422"/>
      <c r="F24" s="422"/>
      <c r="G24" s="422"/>
      <c r="H24" s="422"/>
      <c r="I24" s="422"/>
      <c r="J24" s="422"/>
      <c r="K24" s="422"/>
      <c r="L24" s="422"/>
      <c r="M24" s="422"/>
      <c r="N24" s="422"/>
      <c r="O24" s="1" t="s">
        <v>1774</v>
      </c>
      <c r="P24" s="53" t="s">
        <v>268</v>
      </c>
    </row>
    <row r="25" spans="1:16" ht="20.149999999999999" hidden="1" customHeight="1" x14ac:dyDescent="0.35">
      <c r="A25" s="171" t="s">
        <v>113</v>
      </c>
      <c r="B25" s="422" t="s">
        <v>1485</v>
      </c>
      <c r="C25" s="422"/>
      <c r="D25" s="422"/>
      <c r="E25" s="422"/>
      <c r="F25" s="422"/>
      <c r="G25" s="422"/>
      <c r="H25" s="422"/>
      <c r="I25" s="422"/>
      <c r="J25" s="422"/>
      <c r="K25" s="422"/>
      <c r="L25" s="422"/>
      <c r="M25" s="422"/>
      <c r="N25" s="422"/>
      <c r="O25" s="1" t="s">
        <v>96</v>
      </c>
      <c r="P25" s="53" t="s">
        <v>270</v>
      </c>
    </row>
    <row r="26" spans="1:16" ht="20.149999999999999" hidden="1" customHeight="1" x14ac:dyDescent="0.35">
      <c r="A26" s="148" t="s">
        <v>114</v>
      </c>
      <c r="B26" s="424" t="s">
        <v>1864</v>
      </c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1"/>
      <c r="P26" s="53" t="s">
        <v>268</v>
      </c>
    </row>
    <row r="27" spans="1:16" ht="20.149999999999999" hidden="1" customHeight="1" x14ac:dyDescent="0.35">
      <c r="A27" s="171" t="s">
        <v>115</v>
      </c>
      <c r="B27" s="444" t="s">
        <v>412</v>
      </c>
      <c r="C27" s="444"/>
      <c r="D27" s="444"/>
      <c r="E27" s="444"/>
      <c r="F27" s="444"/>
      <c r="G27" s="444"/>
      <c r="H27" s="444"/>
      <c r="I27" s="444"/>
      <c r="J27" s="444"/>
      <c r="K27" s="444"/>
      <c r="L27" s="444"/>
      <c r="M27" s="444"/>
      <c r="N27" s="444"/>
      <c r="O27" s="2" t="s">
        <v>194</v>
      </c>
      <c r="P27" s="62" t="s">
        <v>268</v>
      </c>
    </row>
    <row r="28" spans="1:16" ht="20.149999999999999" hidden="1" customHeight="1" x14ac:dyDescent="0.35">
      <c r="A28" s="171" t="s">
        <v>116</v>
      </c>
      <c r="B28" s="438" t="s">
        <v>568</v>
      </c>
      <c r="C28" s="438"/>
      <c r="D28" s="438"/>
      <c r="E28" s="438"/>
      <c r="F28" s="438"/>
      <c r="G28" s="438"/>
      <c r="H28" s="438"/>
      <c r="I28" s="438"/>
      <c r="J28" s="438"/>
      <c r="K28" s="438"/>
      <c r="L28" s="438"/>
      <c r="M28" s="438"/>
      <c r="N28" s="438"/>
      <c r="O28" s="60" t="s">
        <v>194</v>
      </c>
      <c r="P28" s="62" t="s">
        <v>268</v>
      </c>
    </row>
    <row r="29" spans="1:16" ht="20.149999999999999" hidden="1" customHeight="1" x14ac:dyDescent="0.35">
      <c r="A29" s="171" t="s">
        <v>117</v>
      </c>
      <c r="B29" s="422" t="s">
        <v>1045</v>
      </c>
      <c r="C29" s="422"/>
      <c r="D29" s="422"/>
      <c r="E29" s="422"/>
      <c r="F29" s="422"/>
      <c r="G29" s="422"/>
      <c r="H29" s="422"/>
      <c r="I29" s="422"/>
      <c r="J29" s="422"/>
      <c r="K29" s="422"/>
      <c r="L29" s="422"/>
      <c r="M29" s="422"/>
      <c r="N29" s="422"/>
      <c r="O29" s="13"/>
      <c r="P29" s="53" t="s">
        <v>269</v>
      </c>
    </row>
    <row r="30" spans="1:16" ht="20.149999999999999" hidden="1" customHeight="1" x14ac:dyDescent="0.35">
      <c r="A30" s="171" t="s">
        <v>118</v>
      </c>
      <c r="B30" s="422" t="s">
        <v>185</v>
      </c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1" t="s">
        <v>194</v>
      </c>
      <c r="P30" s="53" t="s">
        <v>269</v>
      </c>
    </row>
    <row r="31" spans="1:16" ht="20.149999999999999" hidden="1" customHeight="1" x14ac:dyDescent="0.35">
      <c r="A31" s="171" t="s">
        <v>119</v>
      </c>
      <c r="B31" s="422" t="s">
        <v>1273</v>
      </c>
      <c r="C31" s="422"/>
      <c r="D31" s="422"/>
      <c r="E31" s="422"/>
      <c r="F31" s="422"/>
      <c r="G31" s="422"/>
      <c r="H31" s="422"/>
      <c r="I31" s="422"/>
      <c r="J31" s="422"/>
      <c r="K31" s="422"/>
      <c r="L31" s="422"/>
      <c r="M31" s="422"/>
      <c r="N31" s="422"/>
      <c r="O31" s="1" t="s">
        <v>96</v>
      </c>
      <c r="P31" s="53" t="s">
        <v>271</v>
      </c>
    </row>
    <row r="32" spans="1:16" ht="20.149999999999999" hidden="1" customHeight="1" x14ac:dyDescent="0.35">
      <c r="A32" s="171" t="s">
        <v>120</v>
      </c>
      <c r="B32" s="422" t="s">
        <v>1152</v>
      </c>
      <c r="C32" s="422"/>
      <c r="D32" s="422"/>
      <c r="E32" s="422"/>
      <c r="F32" s="422"/>
      <c r="G32" s="422"/>
      <c r="H32" s="422"/>
      <c r="I32" s="422"/>
      <c r="J32" s="422"/>
      <c r="K32" s="422"/>
      <c r="L32" s="422"/>
      <c r="M32" s="422"/>
      <c r="N32" s="422"/>
      <c r="O32" s="1" t="s">
        <v>96</v>
      </c>
      <c r="P32" s="53" t="s">
        <v>271</v>
      </c>
    </row>
    <row r="33" spans="1:16" ht="20.149999999999999" hidden="1" customHeight="1" x14ac:dyDescent="0.35">
      <c r="A33" s="171" t="s">
        <v>121</v>
      </c>
      <c r="B33" s="422" t="s">
        <v>546</v>
      </c>
      <c r="C33" s="422"/>
      <c r="D33" s="422"/>
      <c r="E33" s="422"/>
      <c r="F33" s="422"/>
      <c r="G33" s="422"/>
      <c r="H33" s="422"/>
      <c r="I33" s="422"/>
      <c r="J33" s="422"/>
      <c r="K33" s="422"/>
      <c r="L33" s="422"/>
      <c r="M33" s="422"/>
      <c r="N33" s="422"/>
      <c r="O33" s="1" t="s">
        <v>194</v>
      </c>
      <c r="P33" s="53" t="s">
        <v>273</v>
      </c>
    </row>
    <row r="34" spans="1:16" ht="20.149999999999999" hidden="1" customHeight="1" x14ac:dyDescent="0.35">
      <c r="A34" s="171" t="s">
        <v>122</v>
      </c>
      <c r="B34" s="422" t="s">
        <v>457</v>
      </c>
      <c r="C34" s="422"/>
      <c r="D34" s="422"/>
      <c r="E34" s="422"/>
      <c r="F34" s="422"/>
      <c r="G34" s="422"/>
      <c r="H34" s="422"/>
      <c r="I34" s="422"/>
      <c r="J34" s="422"/>
      <c r="K34" s="422"/>
      <c r="L34" s="422"/>
      <c r="M34" s="422"/>
      <c r="N34" s="422"/>
      <c r="O34" s="1" t="s">
        <v>96</v>
      </c>
      <c r="P34" s="53" t="s">
        <v>273</v>
      </c>
    </row>
    <row r="35" spans="1:16" ht="20.149999999999999" hidden="1" customHeight="1" x14ac:dyDescent="0.35">
      <c r="A35" s="171" t="s">
        <v>123</v>
      </c>
      <c r="B35" s="422" t="s">
        <v>458</v>
      </c>
      <c r="C35" s="422"/>
      <c r="D35" s="422"/>
      <c r="E35" s="422"/>
      <c r="F35" s="422"/>
      <c r="G35" s="422"/>
      <c r="H35" s="422"/>
      <c r="I35" s="422"/>
      <c r="J35" s="422"/>
      <c r="K35" s="422"/>
      <c r="L35" s="422"/>
      <c r="M35" s="422"/>
      <c r="N35" s="422"/>
      <c r="O35" s="1" t="s">
        <v>96</v>
      </c>
      <c r="P35" s="53" t="s">
        <v>273</v>
      </c>
    </row>
    <row r="36" spans="1:16" ht="20.149999999999999" hidden="1" customHeight="1" x14ac:dyDescent="0.35">
      <c r="A36" s="171" t="s">
        <v>124</v>
      </c>
      <c r="B36" s="422" t="s">
        <v>1974</v>
      </c>
      <c r="C36" s="422"/>
      <c r="D36" s="422"/>
      <c r="E36" s="422"/>
      <c r="F36" s="422"/>
      <c r="G36" s="422"/>
      <c r="H36" s="422"/>
      <c r="I36" s="422"/>
      <c r="J36" s="422"/>
      <c r="K36" s="422"/>
      <c r="L36" s="422"/>
      <c r="M36" s="422"/>
      <c r="N36" s="422"/>
      <c r="O36" s="13" t="s">
        <v>95</v>
      </c>
      <c r="P36" s="53" t="s">
        <v>273</v>
      </c>
    </row>
    <row r="37" spans="1:16" ht="20.149999999999999" hidden="1" customHeight="1" x14ac:dyDescent="0.35">
      <c r="A37" s="171" t="s">
        <v>125</v>
      </c>
      <c r="B37" s="422" t="s">
        <v>1337</v>
      </c>
      <c r="C37" s="422"/>
      <c r="D37" s="422"/>
      <c r="E37" s="422"/>
      <c r="F37" s="422"/>
      <c r="G37" s="422"/>
      <c r="H37" s="422"/>
      <c r="I37" s="422"/>
      <c r="J37" s="422"/>
      <c r="K37" s="422"/>
      <c r="L37" s="422"/>
      <c r="M37" s="422"/>
      <c r="N37" s="422"/>
      <c r="O37" s="1"/>
      <c r="P37" s="53"/>
    </row>
    <row r="38" spans="1:16" ht="20.149999999999999" hidden="1" customHeight="1" x14ac:dyDescent="0.35">
      <c r="A38" s="171" t="s">
        <v>126</v>
      </c>
      <c r="B38" s="422" t="s">
        <v>319</v>
      </c>
      <c r="C38" s="422"/>
      <c r="D38" s="422"/>
      <c r="E38" s="422"/>
      <c r="F38" s="422"/>
      <c r="G38" s="422"/>
      <c r="H38" s="422"/>
      <c r="I38" s="422"/>
      <c r="J38" s="422"/>
      <c r="K38" s="422"/>
      <c r="L38" s="422"/>
      <c r="M38" s="422"/>
      <c r="N38" s="422"/>
      <c r="O38" s="1" t="s">
        <v>96</v>
      </c>
      <c r="P38" s="53" t="s">
        <v>270</v>
      </c>
    </row>
    <row r="39" spans="1:16" ht="20.149999999999999" hidden="1" customHeight="1" x14ac:dyDescent="0.35">
      <c r="A39" s="171" t="s">
        <v>145</v>
      </c>
      <c r="B39" s="422" t="s">
        <v>1475</v>
      </c>
      <c r="C39" s="422"/>
      <c r="D39" s="422"/>
      <c r="E39" s="422"/>
      <c r="F39" s="422"/>
      <c r="G39" s="422"/>
      <c r="H39" s="422"/>
      <c r="I39" s="422"/>
      <c r="J39" s="422"/>
      <c r="K39" s="422"/>
      <c r="L39" s="422"/>
      <c r="M39" s="422"/>
      <c r="N39" s="422"/>
      <c r="O39" s="1" t="s">
        <v>96</v>
      </c>
      <c r="P39" s="53" t="s">
        <v>270</v>
      </c>
    </row>
    <row r="40" spans="1:16" ht="20.149999999999999" hidden="1" customHeight="1" x14ac:dyDescent="0.35">
      <c r="A40" s="171" t="s">
        <v>146</v>
      </c>
      <c r="B40" s="426" t="s">
        <v>1932</v>
      </c>
      <c r="C40" s="422"/>
      <c r="D40" s="422"/>
      <c r="E40" s="422"/>
      <c r="F40" s="422"/>
      <c r="G40" s="422"/>
      <c r="H40" s="422"/>
      <c r="I40" s="422"/>
      <c r="J40" s="422"/>
      <c r="K40" s="422"/>
      <c r="L40" s="422"/>
      <c r="M40" s="422"/>
      <c r="N40" s="422"/>
      <c r="O40" s="1" t="s">
        <v>96</v>
      </c>
      <c r="P40" s="53" t="s">
        <v>270</v>
      </c>
    </row>
    <row r="41" spans="1:16" ht="20.149999999999999" hidden="1" customHeight="1" x14ac:dyDescent="0.35">
      <c r="A41" s="171" t="s">
        <v>147</v>
      </c>
      <c r="B41" s="422" t="s">
        <v>1933</v>
      </c>
      <c r="C41" s="422"/>
      <c r="D41" s="422"/>
      <c r="E41" s="422"/>
      <c r="F41" s="422"/>
      <c r="G41" s="422"/>
      <c r="H41" s="422"/>
      <c r="I41" s="422"/>
      <c r="J41" s="422"/>
      <c r="K41" s="422"/>
      <c r="L41" s="422"/>
      <c r="M41" s="422"/>
      <c r="N41" s="422"/>
      <c r="O41" s="1" t="s">
        <v>96</v>
      </c>
      <c r="P41" s="53" t="s">
        <v>270</v>
      </c>
    </row>
    <row r="42" spans="1:16" ht="20.149999999999999" hidden="1" customHeight="1" x14ac:dyDescent="0.35">
      <c r="A42" s="171" t="s">
        <v>148</v>
      </c>
      <c r="B42" s="422" t="s">
        <v>468</v>
      </c>
      <c r="C42" s="422"/>
      <c r="D42" s="422"/>
      <c r="E42" s="422"/>
      <c r="F42" s="422"/>
      <c r="G42" s="422"/>
      <c r="H42" s="422"/>
      <c r="I42" s="422"/>
      <c r="J42" s="422"/>
      <c r="K42" s="422"/>
      <c r="L42" s="422"/>
      <c r="M42" s="422"/>
      <c r="N42" s="422"/>
      <c r="O42" s="1" t="s">
        <v>96</v>
      </c>
      <c r="P42" s="53" t="s">
        <v>270</v>
      </c>
    </row>
    <row r="43" spans="1:16" ht="20.149999999999999" hidden="1" customHeight="1" x14ac:dyDescent="0.35">
      <c r="A43" s="171" t="s">
        <v>149</v>
      </c>
      <c r="B43" s="422" t="s">
        <v>469</v>
      </c>
      <c r="C43" s="422"/>
      <c r="D43" s="422"/>
      <c r="E43" s="422"/>
      <c r="F43" s="422"/>
      <c r="G43" s="422"/>
      <c r="H43" s="422"/>
      <c r="I43" s="422"/>
      <c r="J43" s="422"/>
      <c r="K43" s="422"/>
      <c r="L43" s="422"/>
      <c r="M43" s="422"/>
      <c r="N43" s="422"/>
      <c r="O43" s="1" t="s">
        <v>96</v>
      </c>
      <c r="P43" s="53" t="s">
        <v>270</v>
      </c>
    </row>
    <row r="44" spans="1:16" ht="20.149999999999999" hidden="1" customHeight="1" x14ac:dyDescent="0.35">
      <c r="A44" s="171" t="s">
        <v>150</v>
      </c>
      <c r="B44" s="422" t="s">
        <v>470</v>
      </c>
      <c r="C44" s="422"/>
      <c r="D44" s="422"/>
      <c r="E44" s="422"/>
      <c r="F44" s="422"/>
      <c r="G44" s="422"/>
      <c r="H44" s="422"/>
      <c r="I44" s="422"/>
      <c r="J44" s="422"/>
      <c r="K44" s="422"/>
      <c r="L44" s="422"/>
      <c r="M44" s="422"/>
      <c r="N44" s="422"/>
      <c r="O44" s="1" t="s">
        <v>96</v>
      </c>
      <c r="P44" s="53" t="s">
        <v>270</v>
      </c>
    </row>
    <row r="45" spans="1:16" ht="20.149999999999999" customHeight="1" x14ac:dyDescent="0.35">
      <c r="A45" s="171" t="s">
        <v>151</v>
      </c>
      <c r="B45" s="422" t="s">
        <v>2116</v>
      </c>
      <c r="C45" s="422"/>
      <c r="D45" s="422"/>
      <c r="E45" s="422"/>
      <c r="F45" s="422"/>
      <c r="G45" s="422"/>
      <c r="H45" s="422"/>
      <c r="I45" s="422"/>
      <c r="J45" s="422"/>
      <c r="K45" s="422"/>
      <c r="L45" s="422"/>
      <c r="M45" s="422"/>
      <c r="N45" s="422"/>
      <c r="O45" s="1"/>
      <c r="P45" s="53" t="s">
        <v>270</v>
      </c>
    </row>
    <row r="46" spans="1:16" ht="20.149999999999999" hidden="1" customHeight="1" x14ac:dyDescent="0.35">
      <c r="A46" s="171" t="s">
        <v>152</v>
      </c>
      <c r="B46" s="422" t="s">
        <v>2249</v>
      </c>
      <c r="C46" s="422"/>
      <c r="D46" s="422"/>
      <c r="E46" s="422"/>
      <c r="F46" s="422"/>
      <c r="G46" s="422"/>
      <c r="H46" s="422"/>
      <c r="I46" s="422"/>
      <c r="J46" s="422"/>
      <c r="K46" s="422"/>
      <c r="L46" s="422"/>
      <c r="M46" s="422"/>
      <c r="N46" s="422"/>
      <c r="O46" s="1" t="s">
        <v>96</v>
      </c>
      <c r="P46" s="53" t="s">
        <v>270</v>
      </c>
    </row>
    <row r="47" spans="1:16" ht="20.149999999999999" hidden="1" customHeight="1" x14ac:dyDescent="0.35">
      <c r="A47" s="171" t="s">
        <v>153</v>
      </c>
      <c r="B47" s="422" t="s">
        <v>1666</v>
      </c>
      <c r="C47" s="422"/>
      <c r="D47" s="422"/>
      <c r="E47" s="422"/>
      <c r="F47" s="422"/>
      <c r="G47" s="422"/>
      <c r="H47" s="422"/>
      <c r="I47" s="422"/>
      <c r="J47" s="422"/>
      <c r="K47" s="422"/>
      <c r="L47" s="422"/>
      <c r="M47" s="422"/>
      <c r="N47" s="422"/>
      <c r="O47" s="1" t="s">
        <v>96</v>
      </c>
      <c r="P47" s="53" t="s">
        <v>270</v>
      </c>
    </row>
    <row r="48" spans="1:16" ht="20.149999999999999" hidden="1" customHeight="1" x14ac:dyDescent="0.35">
      <c r="A48" s="171" t="s">
        <v>154</v>
      </c>
      <c r="B48" s="422" t="s">
        <v>1288</v>
      </c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3" t="s">
        <v>96</v>
      </c>
      <c r="P48" s="53" t="s">
        <v>270</v>
      </c>
    </row>
    <row r="49" spans="1:16" ht="20.149999999999999" hidden="1" customHeight="1" x14ac:dyDescent="0.35">
      <c r="A49" s="171" t="s">
        <v>155</v>
      </c>
      <c r="B49" s="437" t="s">
        <v>642</v>
      </c>
      <c r="C49" s="437"/>
      <c r="D49" s="437"/>
      <c r="E49" s="437"/>
      <c r="F49" s="437"/>
      <c r="G49" s="437"/>
      <c r="H49" s="437"/>
      <c r="I49" s="437"/>
      <c r="J49" s="437"/>
      <c r="K49" s="437"/>
      <c r="L49" s="437"/>
      <c r="M49" s="437"/>
      <c r="N49" s="437"/>
      <c r="O49" s="12" t="s">
        <v>96</v>
      </c>
      <c r="P49" s="53" t="s">
        <v>270</v>
      </c>
    </row>
    <row r="50" spans="1:16" ht="20.149999999999999" hidden="1" customHeight="1" x14ac:dyDescent="0.35">
      <c r="A50" s="171" t="s">
        <v>156</v>
      </c>
      <c r="B50" s="422" t="s">
        <v>471</v>
      </c>
      <c r="C50" s="422"/>
      <c r="D50" s="422"/>
      <c r="E50" s="422"/>
      <c r="F50" s="422"/>
      <c r="G50" s="422"/>
      <c r="H50" s="422"/>
      <c r="I50" s="422"/>
      <c r="J50" s="422"/>
      <c r="K50" s="422"/>
      <c r="L50" s="422"/>
      <c r="M50" s="422"/>
      <c r="N50" s="422"/>
      <c r="O50" s="1" t="s">
        <v>96</v>
      </c>
      <c r="P50" s="53" t="s">
        <v>270</v>
      </c>
    </row>
    <row r="51" spans="1:16" ht="20.149999999999999" hidden="1" customHeight="1" x14ac:dyDescent="0.35">
      <c r="A51" s="171" t="s">
        <v>157</v>
      </c>
      <c r="B51" s="422" t="s">
        <v>1361</v>
      </c>
      <c r="C51" s="422"/>
      <c r="D51" s="422"/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O51" s="1" t="s">
        <v>96</v>
      </c>
      <c r="P51" s="53" t="s">
        <v>270</v>
      </c>
    </row>
    <row r="52" spans="1:16" ht="20.149999999999999" hidden="1" customHeight="1" x14ac:dyDescent="0.35">
      <c r="A52" s="171" t="s">
        <v>158</v>
      </c>
      <c r="B52" s="422" t="s">
        <v>1360</v>
      </c>
      <c r="C52" s="422"/>
      <c r="D52" s="422"/>
      <c r="E52" s="422"/>
      <c r="F52" s="422"/>
      <c r="G52" s="422"/>
      <c r="H52" s="422"/>
      <c r="I52" s="422"/>
      <c r="J52" s="422"/>
      <c r="K52" s="422"/>
      <c r="L52" s="422"/>
      <c r="M52" s="422"/>
      <c r="N52" s="422"/>
      <c r="O52" s="3" t="s">
        <v>96</v>
      </c>
      <c r="P52" s="53" t="s">
        <v>270</v>
      </c>
    </row>
    <row r="53" spans="1:16" ht="20.149999999999999" hidden="1" customHeight="1" x14ac:dyDescent="0.35">
      <c r="A53" s="171" t="s">
        <v>159</v>
      </c>
      <c r="B53" s="439" t="s">
        <v>2177</v>
      </c>
      <c r="C53" s="440"/>
      <c r="D53" s="440"/>
      <c r="E53" s="440"/>
      <c r="F53" s="440"/>
      <c r="G53" s="440"/>
      <c r="H53" s="440"/>
      <c r="I53" s="440"/>
      <c r="J53" s="440"/>
      <c r="K53" s="440"/>
      <c r="L53" s="440"/>
      <c r="M53" s="440"/>
      <c r="N53" s="441"/>
      <c r="O53" s="13" t="s">
        <v>95</v>
      </c>
      <c r="P53" s="53" t="s">
        <v>270</v>
      </c>
    </row>
    <row r="54" spans="1:16" ht="20.149999999999999" hidden="1" customHeight="1" x14ac:dyDescent="0.35">
      <c r="A54" s="171" t="s">
        <v>160</v>
      </c>
      <c r="B54" s="422" t="s">
        <v>1667</v>
      </c>
      <c r="C54" s="422"/>
      <c r="D54" s="422"/>
      <c r="E54" s="422"/>
      <c r="F54" s="422"/>
      <c r="G54" s="422"/>
      <c r="H54" s="422"/>
      <c r="I54" s="422"/>
      <c r="J54" s="422"/>
      <c r="K54" s="422"/>
      <c r="L54" s="422"/>
      <c r="M54" s="422"/>
      <c r="N54" s="422"/>
      <c r="O54" s="1" t="s">
        <v>96</v>
      </c>
      <c r="P54" s="53" t="s">
        <v>270</v>
      </c>
    </row>
    <row r="55" spans="1:16" ht="20.149999999999999" hidden="1" customHeight="1" x14ac:dyDescent="0.35">
      <c r="A55" s="171" t="s">
        <v>161</v>
      </c>
      <c r="B55" s="422" t="s">
        <v>1321</v>
      </c>
      <c r="C55" s="422"/>
      <c r="D55" s="422"/>
      <c r="E55" s="422"/>
      <c r="F55" s="422"/>
      <c r="G55" s="422"/>
      <c r="H55" s="422"/>
      <c r="I55" s="422"/>
      <c r="J55" s="422"/>
      <c r="K55" s="422"/>
      <c r="L55" s="422"/>
      <c r="M55" s="422"/>
      <c r="N55" s="422"/>
      <c r="O55" s="1" t="s">
        <v>194</v>
      </c>
      <c r="P55" s="53" t="s">
        <v>270</v>
      </c>
    </row>
    <row r="56" spans="1:16" ht="20.149999999999999" hidden="1" customHeight="1" x14ac:dyDescent="0.35">
      <c r="A56" t="s">
        <v>162</v>
      </c>
      <c r="B56" s="422" t="s">
        <v>472</v>
      </c>
      <c r="C56" s="422"/>
      <c r="D56" s="422"/>
      <c r="E56" s="422"/>
      <c r="F56" s="422"/>
      <c r="G56" s="422"/>
      <c r="H56" s="422"/>
      <c r="I56" s="422"/>
      <c r="J56" s="422"/>
      <c r="K56" s="422"/>
      <c r="L56" s="422"/>
      <c r="M56" s="422"/>
      <c r="N56" s="422"/>
      <c r="O56" s="1" t="s">
        <v>96</v>
      </c>
      <c r="P56" s="53" t="s">
        <v>274</v>
      </c>
    </row>
    <row r="57" spans="1:16" ht="20.149999999999999" hidden="1" customHeight="1" x14ac:dyDescent="0.35">
      <c r="A57" s="171" t="s">
        <v>163</v>
      </c>
      <c r="B57" s="422" t="s">
        <v>1290</v>
      </c>
      <c r="C57" s="422"/>
      <c r="D57" s="422"/>
      <c r="E57" s="422"/>
      <c r="F57" s="422"/>
      <c r="G57" s="422"/>
      <c r="H57" s="422"/>
      <c r="I57" s="422"/>
      <c r="J57" s="422"/>
      <c r="K57" s="422"/>
      <c r="L57" s="422"/>
      <c r="M57" s="422"/>
      <c r="N57" s="422"/>
      <c r="O57" s="1" t="s">
        <v>96</v>
      </c>
      <c r="P57" s="53" t="s">
        <v>274</v>
      </c>
    </row>
    <row r="58" spans="1:16" ht="20.149999999999999" hidden="1" customHeight="1" x14ac:dyDescent="0.35">
      <c r="A58" s="171" t="s">
        <v>164</v>
      </c>
      <c r="B58" s="422" t="s">
        <v>473</v>
      </c>
      <c r="C58" s="422"/>
      <c r="D58" s="422"/>
      <c r="E58" s="422"/>
      <c r="F58" s="422"/>
      <c r="G58" s="422"/>
      <c r="H58" s="422"/>
      <c r="I58" s="422"/>
      <c r="J58" s="422"/>
      <c r="K58" s="422"/>
      <c r="L58" s="422"/>
      <c r="M58" s="422"/>
      <c r="N58" s="422"/>
      <c r="O58" s="1" t="s">
        <v>96</v>
      </c>
      <c r="P58" s="53" t="s">
        <v>274</v>
      </c>
    </row>
    <row r="59" spans="1:16" ht="20.149999999999999" hidden="1" customHeight="1" x14ac:dyDescent="0.35">
      <c r="A59" s="171" t="s">
        <v>165</v>
      </c>
      <c r="B59" s="422" t="s">
        <v>1403</v>
      </c>
      <c r="C59" s="422"/>
      <c r="D59" s="422"/>
      <c r="E59" s="422"/>
      <c r="F59" s="422"/>
      <c r="G59" s="422"/>
      <c r="H59" s="422"/>
      <c r="I59" s="422"/>
      <c r="J59" s="422"/>
      <c r="K59" s="422"/>
      <c r="L59" s="422"/>
      <c r="M59" s="422"/>
      <c r="N59" s="422"/>
      <c r="O59" s="1" t="s">
        <v>96</v>
      </c>
      <c r="P59" s="53" t="s">
        <v>274</v>
      </c>
    </row>
    <row r="60" spans="1:16" ht="20.149999999999999" hidden="1" customHeight="1" x14ac:dyDescent="0.35">
      <c r="A60" s="171" t="s">
        <v>166</v>
      </c>
      <c r="B60" s="437" t="s">
        <v>1887</v>
      </c>
      <c r="C60" s="437"/>
      <c r="D60" s="437"/>
      <c r="E60" s="437"/>
      <c r="F60" s="437"/>
      <c r="G60" s="437"/>
      <c r="H60" s="437"/>
      <c r="I60" s="437"/>
      <c r="J60" s="437"/>
      <c r="K60" s="437"/>
      <c r="L60" s="437"/>
      <c r="M60" s="437"/>
      <c r="N60" s="437"/>
      <c r="O60" s="12" t="s">
        <v>139</v>
      </c>
      <c r="P60" s="53" t="s">
        <v>274</v>
      </c>
    </row>
    <row r="61" spans="1:16" ht="20.149999999999999" hidden="1" customHeight="1" x14ac:dyDescent="0.35">
      <c r="A61" s="171" t="s">
        <v>167</v>
      </c>
      <c r="B61" s="437" t="s">
        <v>1250</v>
      </c>
      <c r="C61" s="437"/>
      <c r="D61" s="437"/>
      <c r="E61" s="437"/>
      <c r="F61" s="437"/>
      <c r="G61" s="437"/>
      <c r="H61" s="437"/>
      <c r="I61" s="437"/>
      <c r="J61" s="437"/>
      <c r="K61" s="437"/>
      <c r="L61" s="437"/>
      <c r="M61" s="437"/>
      <c r="N61" s="437"/>
      <c r="O61" s="11" t="s">
        <v>139</v>
      </c>
      <c r="P61" s="53" t="s">
        <v>274</v>
      </c>
    </row>
    <row r="62" spans="1:16" ht="20.149999999999999" hidden="1" customHeight="1" x14ac:dyDescent="0.35">
      <c r="A62" s="171" t="s">
        <v>168</v>
      </c>
      <c r="B62" s="422" t="s">
        <v>143</v>
      </c>
      <c r="C62" s="422"/>
      <c r="D62" s="422"/>
      <c r="E62" s="422"/>
      <c r="F62" s="422"/>
      <c r="G62" s="422"/>
      <c r="H62" s="422"/>
      <c r="I62" s="422"/>
      <c r="J62" s="422"/>
      <c r="K62" s="422"/>
      <c r="L62" s="422"/>
      <c r="M62" s="422"/>
      <c r="N62" s="422"/>
      <c r="O62" s="1" t="s">
        <v>194</v>
      </c>
      <c r="P62" s="53" t="s">
        <v>274</v>
      </c>
    </row>
    <row r="63" spans="1:16" ht="20.149999999999999" hidden="1" customHeight="1" x14ac:dyDescent="0.35">
      <c r="A63" s="171" t="s">
        <v>169</v>
      </c>
      <c r="B63" s="422" t="s">
        <v>2248</v>
      </c>
      <c r="C63" s="422"/>
      <c r="D63" s="422"/>
      <c r="E63" s="422"/>
      <c r="F63" s="422"/>
      <c r="G63" s="422"/>
      <c r="H63" s="422"/>
      <c r="I63" s="422"/>
      <c r="J63" s="422"/>
      <c r="K63" s="422"/>
      <c r="L63" s="422"/>
      <c r="M63" s="422"/>
      <c r="N63" s="422"/>
      <c r="O63" s="1" t="s">
        <v>96</v>
      </c>
      <c r="P63" s="53" t="s">
        <v>274</v>
      </c>
    </row>
    <row r="64" spans="1:16" ht="20.149999999999999" hidden="1" customHeight="1" x14ac:dyDescent="0.35">
      <c r="A64" s="171" t="s">
        <v>170</v>
      </c>
      <c r="B64" s="422" t="s">
        <v>1420</v>
      </c>
      <c r="C64" s="422"/>
      <c r="D64" s="422"/>
      <c r="E64" s="422"/>
      <c r="F64" s="422"/>
      <c r="G64" s="422"/>
      <c r="H64" s="422"/>
      <c r="I64" s="422"/>
      <c r="J64" s="422"/>
      <c r="K64" s="422"/>
      <c r="L64" s="422"/>
      <c r="M64" s="422"/>
      <c r="N64" s="422"/>
      <c r="O64" s="1" t="s">
        <v>194</v>
      </c>
      <c r="P64" s="53" t="s">
        <v>274</v>
      </c>
    </row>
    <row r="65" spans="1:16" ht="20.149999999999999" hidden="1" customHeight="1" x14ac:dyDescent="0.35">
      <c r="A65" s="171" t="s">
        <v>171</v>
      </c>
      <c r="B65" s="422" t="s">
        <v>1507</v>
      </c>
      <c r="C65" s="422"/>
      <c r="D65" s="422"/>
      <c r="E65" s="422"/>
      <c r="F65" s="422"/>
      <c r="G65" s="422"/>
      <c r="H65" s="422"/>
      <c r="I65" s="422"/>
      <c r="J65" s="422"/>
      <c r="K65" s="422"/>
      <c r="L65" s="422"/>
      <c r="M65" s="422"/>
      <c r="N65" s="422"/>
      <c r="O65" s="1" t="s">
        <v>96</v>
      </c>
      <c r="P65" s="53" t="s">
        <v>268</v>
      </c>
    </row>
    <row r="66" spans="1:16" ht="20.149999999999999" hidden="1" customHeight="1" x14ac:dyDescent="0.35">
      <c r="A66" s="171" t="s">
        <v>172</v>
      </c>
      <c r="B66" s="422" t="s">
        <v>654</v>
      </c>
      <c r="C66" s="422"/>
      <c r="D66" s="422"/>
      <c r="E66" s="422"/>
      <c r="F66" s="422"/>
      <c r="G66" s="422"/>
      <c r="H66" s="422"/>
      <c r="I66" s="422"/>
      <c r="J66" s="422"/>
      <c r="K66" s="422"/>
      <c r="L66" s="422"/>
      <c r="M66" s="422"/>
      <c r="N66" s="422"/>
      <c r="O66" s="1" t="s">
        <v>194</v>
      </c>
      <c r="P66" s="53" t="s">
        <v>274</v>
      </c>
    </row>
    <row r="67" spans="1:16" ht="20.149999999999999" hidden="1" customHeight="1" x14ac:dyDescent="0.35">
      <c r="A67" s="171" t="s">
        <v>173</v>
      </c>
      <c r="B67" s="422" t="s">
        <v>1285</v>
      </c>
      <c r="C67" s="422"/>
      <c r="D67" s="422"/>
      <c r="E67" s="422"/>
      <c r="F67" s="422"/>
      <c r="G67" s="422"/>
      <c r="H67" s="422"/>
      <c r="I67" s="422"/>
      <c r="J67" s="422"/>
      <c r="K67" s="422"/>
      <c r="L67" s="422"/>
      <c r="M67" s="422"/>
      <c r="N67" s="422"/>
      <c r="O67" s="1" t="s">
        <v>1774</v>
      </c>
      <c r="P67" s="53" t="s">
        <v>272</v>
      </c>
    </row>
    <row r="68" spans="1:16" ht="20.149999999999999" hidden="1" customHeight="1" x14ac:dyDescent="0.35">
      <c r="A68" s="171" t="s">
        <v>174</v>
      </c>
      <c r="B68" s="422" t="s">
        <v>1897</v>
      </c>
      <c r="C68" s="422"/>
      <c r="D68" s="422"/>
      <c r="E68" s="422"/>
      <c r="F68" s="422"/>
      <c r="G68" s="422"/>
      <c r="H68" s="422"/>
      <c r="I68" s="422"/>
      <c r="J68" s="422"/>
      <c r="K68" s="422"/>
      <c r="L68" s="422"/>
      <c r="M68" s="422"/>
      <c r="N68" s="422"/>
      <c r="O68" s="1" t="s">
        <v>194</v>
      </c>
      <c r="P68" s="53" t="s">
        <v>272</v>
      </c>
    </row>
    <row r="69" spans="1:16" ht="20.149999999999999" hidden="1" customHeight="1" x14ac:dyDescent="0.35">
      <c r="A69" s="171" t="s">
        <v>175</v>
      </c>
      <c r="B69" s="422" t="s">
        <v>668</v>
      </c>
      <c r="C69" s="422"/>
      <c r="D69" s="422"/>
      <c r="E69" s="422"/>
      <c r="F69" s="422"/>
      <c r="G69" s="422"/>
      <c r="H69" s="422"/>
      <c r="I69" s="422"/>
      <c r="J69" s="422"/>
      <c r="K69" s="422"/>
      <c r="L69" s="422"/>
      <c r="M69" s="422"/>
      <c r="N69" s="422"/>
      <c r="O69" s="1" t="s">
        <v>194</v>
      </c>
      <c r="P69" s="53" t="s">
        <v>272</v>
      </c>
    </row>
    <row r="70" spans="1:16" ht="20.149999999999999" hidden="1" customHeight="1" x14ac:dyDescent="0.35">
      <c r="A70" s="171" t="s">
        <v>176</v>
      </c>
      <c r="B70" s="422" t="s">
        <v>1419</v>
      </c>
      <c r="C70" s="422"/>
      <c r="D70" s="422"/>
      <c r="E70" s="422"/>
      <c r="F70" s="422"/>
      <c r="G70" s="422"/>
      <c r="H70" s="422"/>
      <c r="I70" s="422"/>
      <c r="J70" s="422"/>
      <c r="K70" s="422"/>
      <c r="L70" s="422"/>
      <c r="M70" s="422"/>
      <c r="N70" s="422"/>
      <c r="O70" s="1" t="s">
        <v>194</v>
      </c>
      <c r="P70" s="53" t="s">
        <v>272</v>
      </c>
    </row>
    <row r="71" spans="1:16" ht="20.149999999999999" hidden="1" customHeight="1" x14ac:dyDescent="0.35">
      <c r="A71" s="171" t="s">
        <v>177</v>
      </c>
      <c r="B71" s="422" t="s">
        <v>201</v>
      </c>
      <c r="C71" s="422"/>
      <c r="D71" s="422"/>
      <c r="E71" s="422"/>
      <c r="F71" s="422"/>
      <c r="G71" s="422"/>
      <c r="H71" s="422"/>
      <c r="I71" s="422"/>
      <c r="J71" s="422"/>
      <c r="K71" s="422"/>
      <c r="L71" s="422"/>
      <c r="M71" s="422"/>
      <c r="N71" s="422"/>
      <c r="O71" s="1" t="s">
        <v>194</v>
      </c>
      <c r="P71" s="53" t="s">
        <v>272</v>
      </c>
    </row>
    <row r="72" spans="1:16" ht="20.149999999999999" hidden="1" customHeight="1" x14ac:dyDescent="0.35">
      <c r="A72" s="171" t="s">
        <v>178</v>
      </c>
      <c r="B72" s="430" t="s">
        <v>2028</v>
      </c>
      <c r="C72" s="430"/>
      <c r="D72" s="430"/>
      <c r="E72" s="430"/>
      <c r="F72" s="430"/>
      <c r="G72" s="430"/>
      <c r="H72" s="430"/>
      <c r="I72" s="430"/>
      <c r="J72" s="430"/>
      <c r="K72" s="430"/>
      <c r="L72" s="430"/>
      <c r="M72" s="430"/>
      <c r="N72" s="430"/>
      <c r="O72" s="1" t="s">
        <v>194</v>
      </c>
      <c r="P72" s="53" t="s">
        <v>272</v>
      </c>
    </row>
    <row r="73" spans="1:16" ht="20.149999999999999" hidden="1" customHeight="1" x14ac:dyDescent="0.35">
      <c r="A73" s="59" t="s">
        <v>179</v>
      </c>
      <c r="B73" s="422" t="s">
        <v>1793</v>
      </c>
      <c r="C73" s="422"/>
      <c r="D73" s="422"/>
      <c r="E73" s="422"/>
      <c r="F73" s="422"/>
      <c r="G73" s="422"/>
      <c r="H73" s="422"/>
      <c r="I73" s="422"/>
      <c r="J73" s="422"/>
      <c r="K73" s="422"/>
      <c r="L73" s="422"/>
      <c r="M73" s="422"/>
      <c r="N73" s="422"/>
      <c r="O73" s="132" t="s">
        <v>96</v>
      </c>
      <c r="P73" s="53"/>
    </row>
    <row r="74" spans="1:16" ht="20.149999999999999" hidden="1" customHeight="1" x14ac:dyDescent="0.35">
      <c r="A74" s="171" t="s">
        <v>180</v>
      </c>
      <c r="B74" s="437" t="s">
        <v>1080</v>
      </c>
      <c r="C74" s="437"/>
      <c r="D74" s="437"/>
      <c r="E74" s="437"/>
      <c r="F74" s="437"/>
      <c r="G74" s="437"/>
      <c r="H74" s="437"/>
      <c r="I74" s="437"/>
      <c r="J74" s="437"/>
      <c r="K74" s="437"/>
      <c r="L74" s="437"/>
      <c r="M74" s="437"/>
      <c r="N74" s="437"/>
      <c r="O74" s="11" t="s">
        <v>139</v>
      </c>
      <c r="P74" s="53" t="s">
        <v>272</v>
      </c>
    </row>
    <row r="75" spans="1:16" ht="20.149999999999999" hidden="1" customHeight="1" x14ac:dyDescent="0.35">
      <c r="A75" s="171" t="s">
        <v>181</v>
      </c>
      <c r="B75" s="437" t="s">
        <v>141</v>
      </c>
      <c r="C75" s="437"/>
      <c r="D75" s="437"/>
      <c r="E75" s="437"/>
      <c r="F75" s="437"/>
      <c r="G75" s="437"/>
      <c r="H75" s="437"/>
      <c r="I75" s="437"/>
      <c r="J75" s="437"/>
      <c r="K75" s="437"/>
      <c r="L75" s="437"/>
      <c r="M75" s="437"/>
      <c r="N75" s="437"/>
      <c r="O75" s="11" t="s">
        <v>139</v>
      </c>
      <c r="P75" s="53" t="s">
        <v>272</v>
      </c>
    </row>
    <row r="76" spans="1:16" ht="20.149999999999999" hidden="1" customHeight="1" x14ac:dyDescent="0.35">
      <c r="A76" s="171" t="s">
        <v>182</v>
      </c>
      <c r="B76" s="422" t="s">
        <v>1274</v>
      </c>
      <c r="C76" s="422"/>
      <c r="D76" s="422"/>
      <c r="E76" s="422"/>
      <c r="F76" s="422"/>
      <c r="G76" s="422"/>
      <c r="H76" s="422"/>
      <c r="I76" s="422"/>
      <c r="J76" s="422"/>
      <c r="K76" s="422"/>
      <c r="L76" s="422"/>
      <c r="M76" s="422"/>
      <c r="N76" s="422"/>
      <c r="O76" s="1" t="s">
        <v>96</v>
      </c>
      <c r="P76" s="53" t="s">
        <v>272</v>
      </c>
    </row>
    <row r="77" spans="1:16" ht="20.149999999999999" hidden="1" customHeight="1" x14ac:dyDescent="0.35">
      <c r="A77" s="171" t="s">
        <v>184</v>
      </c>
      <c r="B77" s="422" t="s">
        <v>474</v>
      </c>
      <c r="C77" s="422"/>
      <c r="D77" s="422"/>
      <c r="E77" s="422"/>
      <c r="F77" s="422"/>
      <c r="G77" s="422"/>
      <c r="H77" s="422"/>
      <c r="I77" s="422"/>
      <c r="J77" s="422"/>
      <c r="K77" s="422"/>
      <c r="L77" s="422"/>
      <c r="M77" s="422"/>
      <c r="N77" s="422"/>
      <c r="O77" s="1" t="s">
        <v>96</v>
      </c>
      <c r="P77" s="53" t="s">
        <v>272</v>
      </c>
    </row>
    <row r="78" spans="1:16" ht="20.149999999999999" hidden="1" customHeight="1" x14ac:dyDescent="0.35">
      <c r="A78" s="171" t="s">
        <v>188</v>
      </c>
      <c r="B78" s="422" t="s">
        <v>2244</v>
      </c>
      <c r="C78" s="422"/>
      <c r="D78" s="422"/>
      <c r="E78" s="422"/>
      <c r="F78" s="422"/>
      <c r="G78" s="422"/>
      <c r="H78" s="422"/>
      <c r="I78" s="422"/>
      <c r="J78" s="422"/>
      <c r="K78" s="422"/>
      <c r="L78" s="422"/>
      <c r="M78" s="422"/>
      <c r="N78" s="422"/>
      <c r="O78" s="1" t="s">
        <v>96</v>
      </c>
      <c r="P78" s="53" t="s">
        <v>272</v>
      </c>
    </row>
    <row r="79" spans="1:16" ht="20.149999999999999" hidden="1" customHeight="1" x14ac:dyDescent="0.35">
      <c r="A79" s="171" t="s">
        <v>189</v>
      </c>
      <c r="B79" s="422" t="s">
        <v>475</v>
      </c>
      <c r="C79" s="422"/>
      <c r="D79" s="422"/>
      <c r="E79" s="422"/>
      <c r="F79" s="422"/>
      <c r="G79" s="422"/>
      <c r="H79" s="422"/>
      <c r="I79" s="422"/>
      <c r="J79" s="422"/>
      <c r="K79" s="422"/>
      <c r="L79" s="422"/>
      <c r="M79" s="422"/>
      <c r="N79" s="422"/>
      <c r="O79" s="1" t="s">
        <v>96</v>
      </c>
      <c r="P79" s="53" t="s">
        <v>272</v>
      </c>
    </row>
    <row r="80" spans="1:16" ht="20.149999999999999" hidden="1" customHeight="1" x14ac:dyDescent="0.35">
      <c r="A80" s="222" t="s">
        <v>192</v>
      </c>
      <c r="B80" s="429" t="s">
        <v>1509</v>
      </c>
      <c r="C80" s="429"/>
      <c r="D80" s="429"/>
      <c r="E80" s="429"/>
      <c r="F80" s="429"/>
      <c r="G80" s="429"/>
      <c r="H80" s="429"/>
      <c r="I80" s="429"/>
      <c r="J80" s="429"/>
      <c r="K80" s="429"/>
      <c r="L80" s="429"/>
      <c r="M80" s="429"/>
      <c r="N80" s="429"/>
      <c r="O80" s="1" t="s">
        <v>1773</v>
      </c>
      <c r="P80" s="5"/>
    </row>
    <row r="81" spans="1:16" ht="20.149999999999999" hidden="1" customHeight="1" x14ac:dyDescent="0.35">
      <c r="A81" s="171" t="s">
        <v>193</v>
      </c>
      <c r="B81" s="422" t="s">
        <v>2178</v>
      </c>
      <c r="C81" s="422"/>
      <c r="D81" s="422"/>
      <c r="E81" s="422"/>
      <c r="F81" s="422"/>
      <c r="G81" s="422"/>
      <c r="H81" s="422"/>
      <c r="I81" s="422"/>
      <c r="J81" s="422"/>
      <c r="K81" s="422"/>
      <c r="L81" s="422"/>
      <c r="M81" s="422"/>
      <c r="N81" s="422"/>
      <c r="O81" s="13" t="s">
        <v>95</v>
      </c>
      <c r="P81" s="53" t="s">
        <v>272</v>
      </c>
    </row>
    <row r="82" spans="1:16" ht="20.149999999999999" hidden="1" customHeight="1" x14ac:dyDescent="0.35">
      <c r="A82" s="171" t="s">
        <v>202</v>
      </c>
      <c r="B82" s="422" t="s">
        <v>1679</v>
      </c>
      <c r="C82" s="422"/>
      <c r="D82" s="422"/>
      <c r="E82" s="422"/>
      <c r="F82" s="422"/>
      <c r="G82" s="422"/>
      <c r="H82" s="422"/>
      <c r="I82" s="422"/>
      <c r="J82" s="422"/>
      <c r="K82" s="422"/>
      <c r="L82" s="422"/>
      <c r="M82" s="422"/>
      <c r="N82" s="422"/>
      <c r="O82" s="1" t="s">
        <v>96</v>
      </c>
      <c r="P82" s="53" t="s">
        <v>272</v>
      </c>
    </row>
    <row r="83" spans="1:16" ht="20.149999999999999" hidden="1" customHeight="1" x14ac:dyDescent="0.35">
      <c r="A83" s="171" t="s">
        <v>203</v>
      </c>
      <c r="B83" s="422" t="s">
        <v>1700</v>
      </c>
      <c r="C83" s="422"/>
      <c r="D83" s="422"/>
      <c r="E83" s="422"/>
      <c r="F83" s="422"/>
      <c r="G83" s="422"/>
      <c r="H83" s="422"/>
      <c r="I83" s="422"/>
      <c r="J83" s="422"/>
      <c r="K83" s="422"/>
      <c r="L83" s="422"/>
      <c r="M83" s="422"/>
      <c r="N83" s="422"/>
      <c r="O83" s="1" t="s">
        <v>96</v>
      </c>
      <c r="P83" s="53" t="s">
        <v>272</v>
      </c>
    </row>
    <row r="84" spans="1:16" ht="20.149999999999999" hidden="1" customHeight="1" x14ac:dyDescent="0.35">
      <c r="A84" s="171" t="s">
        <v>204</v>
      </c>
      <c r="B84" s="422" t="s">
        <v>352</v>
      </c>
      <c r="C84" s="422"/>
      <c r="D84" s="422"/>
      <c r="E84" s="422"/>
      <c r="F84" s="422"/>
      <c r="G84" s="422"/>
      <c r="H84" s="422"/>
      <c r="I84" s="422"/>
      <c r="J84" s="422"/>
      <c r="K84" s="422"/>
      <c r="L84" s="422"/>
      <c r="M84" s="422"/>
      <c r="N84" s="422"/>
      <c r="O84" s="1" t="s">
        <v>96</v>
      </c>
      <c r="P84" s="53" t="s">
        <v>272</v>
      </c>
    </row>
    <row r="85" spans="1:16" ht="20.149999999999999" hidden="1" customHeight="1" x14ac:dyDescent="0.35">
      <c r="A85" s="148" t="s">
        <v>205</v>
      </c>
      <c r="B85" s="422" t="s">
        <v>476</v>
      </c>
      <c r="C85" s="422"/>
      <c r="D85" s="422"/>
      <c r="E85" s="422"/>
      <c r="F85" s="422"/>
      <c r="G85" s="422"/>
      <c r="H85" s="422"/>
      <c r="I85" s="422"/>
      <c r="J85" s="422"/>
      <c r="K85" s="422"/>
      <c r="L85" s="422"/>
      <c r="M85" s="422"/>
      <c r="N85" s="422"/>
      <c r="O85" s="1" t="s">
        <v>96</v>
      </c>
      <c r="P85" s="5" t="s">
        <v>272</v>
      </c>
    </row>
    <row r="86" spans="1:16" ht="20.149999999999999" hidden="1" customHeight="1" x14ac:dyDescent="0.35">
      <c r="A86" s="148" t="s">
        <v>206</v>
      </c>
      <c r="B86" s="422" t="s">
        <v>477</v>
      </c>
      <c r="C86" s="422"/>
      <c r="D86" s="422"/>
      <c r="E86" s="422"/>
      <c r="F86" s="422"/>
      <c r="G86" s="422"/>
      <c r="H86" s="422"/>
      <c r="I86" s="422"/>
      <c r="J86" s="422"/>
      <c r="K86" s="422"/>
      <c r="L86" s="422"/>
      <c r="M86" s="422"/>
      <c r="N86" s="422"/>
      <c r="O86" s="1" t="s">
        <v>96</v>
      </c>
      <c r="P86" s="5" t="s">
        <v>272</v>
      </c>
    </row>
    <row r="87" spans="1:16" ht="20.149999999999999" hidden="1" customHeight="1" x14ac:dyDescent="0.35">
      <c r="A87" s="94" t="s">
        <v>275</v>
      </c>
      <c r="B87" s="422" t="s">
        <v>464</v>
      </c>
      <c r="C87" s="422"/>
      <c r="D87" s="422"/>
      <c r="E87" s="422"/>
      <c r="F87" s="422"/>
      <c r="G87" s="422"/>
      <c r="H87" s="422"/>
      <c r="I87" s="422"/>
      <c r="J87" s="422"/>
      <c r="K87" s="422"/>
      <c r="L87" s="422"/>
      <c r="M87" s="422"/>
      <c r="N87" s="422"/>
      <c r="O87" s="1" t="s">
        <v>194</v>
      </c>
      <c r="P87" s="53" t="s">
        <v>34</v>
      </c>
    </row>
    <row r="88" spans="1:16" ht="20.149999999999999" hidden="1" customHeight="1" x14ac:dyDescent="0.35">
      <c r="A88" s="171" t="s">
        <v>276</v>
      </c>
      <c r="B88" s="422" t="s">
        <v>1873</v>
      </c>
      <c r="C88" s="422"/>
      <c r="D88" s="422"/>
      <c r="E88" s="422"/>
      <c r="F88" s="422"/>
      <c r="G88" s="422"/>
      <c r="H88" s="422"/>
      <c r="I88" s="422"/>
      <c r="J88" s="422"/>
      <c r="K88" s="422"/>
      <c r="L88" s="422"/>
      <c r="M88" s="422"/>
      <c r="N88" s="422"/>
      <c r="O88" s="1" t="s">
        <v>96</v>
      </c>
      <c r="P88" s="53" t="s">
        <v>34</v>
      </c>
    </row>
    <row r="89" spans="1:16" ht="20.149999999999999" hidden="1" customHeight="1" x14ac:dyDescent="0.35">
      <c r="A89" s="171" t="s">
        <v>277</v>
      </c>
      <c r="B89" s="422" t="s">
        <v>1898</v>
      </c>
      <c r="C89" s="422"/>
      <c r="D89" s="422"/>
      <c r="E89" s="422"/>
      <c r="F89" s="422"/>
      <c r="G89" s="422"/>
      <c r="H89" s="422"/>
      <c r="I89" s="422"/>
      <c r="J89" s="422"/>
      <c r="K89" s="422"/>
      <c r="L89" s="422"/>
      <c r="M89" s="422"/>
      <c r="N89" s="422"/>
      <c r="O89" s="1" t="s">
        <v>194</v>
      </c>
      <c r="P89" s="53" t="s">
        <v>34</v>
      </c>
    </row>
    <row r="90" spans="1:16" ht="20.149999999999999" hidden="1" customHeight="1" x14ac:dyDescent="0.35">
      <c r="A90" s="91" t="s">
        <v>390</v>
      </c>
      <c r="B90" s="422" t="s">
        <v>2251</v>
      </c>
      <c r="C90" s="422"/>
      <c r="D90" s="422"/>
      <c r="E90" s="422"/>
      <c r="F90" s="422"/>
      <c r="G90" s="422"/>
      <c r="H90" s="422"/>
      <c r="I90" s="422"/>
      <c r="J90" s="422"/>
      <c r="K90" s="422"/>
      <c r="L90" s="422"/>
      <c r="M90" s="422"/>
      <c r="N90" s="422"/>
      <c r="O90" s="1" t="s">
        <v>194</v>
      </c>
      <c r="P90" s="53" t="s">
        <v>34</v>
      </c>
    </row>
    <row r="91" spans="1:16" ht="20.149999999999999" hidden="1" customHeight="1" x14ac:dyDescent="0.35">
      <c r="A91" s="171" t="s">
        <v>398</v>
      </c>
      <c r="B91" s="429" t="s">
        <v>2179</v>
      </c>
      <c r="C91" s="429"/>
      <c r="D91" s="429"/>
      <c r="E91" s="429"/>
      <c r="F91" s="429"/>
      <c r="G91" s="429"/>
      <c r="H91" s="429"/>
      <c r="I91" s="429"/>
      <c r="J91" s="429"/>
      <c r="K91" s="429"/>
      <c r="L91" s="429"/>
      <c r="M91" s="429"/>
      <c r="N91" s="429"/>
      <c r="O91" s="13" t="s">
        <v>95</v>
      </c>
      <c r="P91" s="53" t="s">
        <v>272</v>
      </c>
    </row>
    <row r="92" spans="1:16" ht="20.149999999999999" hidden="1" customHeight="1" x14ac:dyDescent="0.35">
      <c r="A92" s="171" t="s">
        <v>399</v>
      </c>
      <c r="B92" s="429" t="s">
        <v>2247</v>
      </c>
      <c r="C92" s="429"/>
      <c r="D92" s="429"/>
      <c r="E92" s="429"/>
      <c r="F92" s="429"/>
      <c r="G92" s="429"/>
      <c r="H92" s="429"/>
      <c r="I92" s="429"/>
      <c r="J92" s="429"/>
      <c r="K92" s="429"/>
      <c r="L92" s="429"/>
      <c r="M92" s="429"/>
      <c r="N92" s="429"/>
      <c r="O92" s="13" t="s">
        <v>95</v>
      </c>
      <c r="P92" s="53"/>
    </row>
    <row r="93" spans="1:16" ht="20.149999999999999" hidden="1" customHeight="1" x14ac:dyDescent="0.35">
      <c r="A93" s="91" t="s">
        <v>420</v>
      </c>
      <c r="B93" s="430" t="s">
        <v>1722</v>
      </c>
      <c r="C93" s="430"/>
      <c r="D93" s="430"/>
      <c r="E93" s="430"/>
      <c r="F93" s="430"/>
      <c r="G93" s="430"/>
      <c r="H93" s="430"/>
      <c r="I93" s="430"/>
      <c r="J93" s="430"/>
      <c r="K93" s="430"/>
      <c r="L93" s="430"/>
      <c r="M93" s="430"/>
      <c r="N93" s="430"/>
      <c r="O93" s="13"/>
      <c r="P93" s="5"/>
    </row>
    <row r="94" spans="1:16" ht="20.149999999999999" hidden="1" customHeight="1" x14ac:dyDescent="0.35">
      <c r="A94" s="171" t="s">
        <v>423</v>
      </c>
      <c r="B94" s="422" t="s">
        <v>1966</v>
      </c>
      <c r="C94" s="422"/>
      <c r="D94" s="422"/>
      <c r="E94" s="422"/>
      <c r="F94" s="422"/>
      <c r="G94" s="422"/>
      <c r="H94" s="422"/>
      <c r="I94" s="422"/>
      <c r="J94" s="422"/>
      <c r="K94" s="422"/>
      <c r="L94" s="422"/>
      <c r="M94" s="422"/>
      <c r="N94" s="422"/>
      <c r="O94" s="13"/>
      <c r="P94" s="5"/>
    </row>
    <row r="95" spans="1:16" ht="20.149999999999999" hidden="1" customHeight="1" x14ac:dyDescent="0.35">
      <c r="A95" s="91" t="s">
        <v>425</v>
      </c>
      <c r="B95" s="422" t="s">
        <v>2118</v>
      </c>
      <c r="C95" s="422"/>
      <c r="D95" s="422"/>
      <c r="E95" s="422"/>
      <c r="F95" s="422"/>
      <c r="G95" s="422"/>
      <c r="H95" s="422"/>
      <c r="I95" s="422"/>
      <c r="J95" s="422"/>
      <c r="K95" s="422"/>
      <c r="L95" s="422"/>
      <c r="M95" s="422"/>
      <c r="N95" s="422"/>
      <c r="O95" s="1" t="s">
        <v>96</v>
      </c>
      <c r="P95" s="53" t="s">
        <v>272</v>
      </c>
    </row>
    <row r="96" spans="1:16" ht="20.149999999999999" hidden="1" customHeight="1" x14ac:dyDescent="0.35">
      <c r="A96" s="171" t="s">
        <v>436</v>
      </c>
      <c r="B96" s="422" t="s">
        <v>543</v>
      </c>
      <c r="C96" s="422"/>
      <c r="D96" s="422"/>
      <c r="E96" s="422"/>
      <c r="F96" s="422"/>
      <c r="G96" s="422"/>
      <c r="H96" s="422"/>
      <c r="I96" s="422"/>
      <c r="J96" s="422"/>
      <c r="K96" s="422"/>
      <c r="L96" s="422"/>
      <c r="M96" s="422"/>
      <c r="N96" s="422"/>
      <c r="O96" s="13"/>
      <c r="P96" s="5"/>
    </row>
    <row r="97" spans="1:16" ht="20.149999999999999" hidden="1" customHeight="1" x14ac:dyDescent="0.35">
      <c r="A97" s="91" t="s">
        <v>440</v>
      </c>
      <c r="B97" s="422" t="s">
        <v>1653</v>
      </c>
      <c r="C97" s="422"/>
      <c r="D97" s="422"/>
      <c r="E97" s="422"/>
      <c r="F97" s="422"/>
      <c r="G97" s="422"/>
      <c r="H97" s="422"/>
      <c r="I97" s="422"/>
      <c r="J97" s="422"/>
      <c r="K97" s="422"/>
      <c r="L97" s="422"/>
      <c r="M97" s="422"/>
      <c r="N97" s="422"/>
      <c r="O97" s="13"/>
      <c r="P97" s="5"/>
    </row>
    <row r="98" spans="1:16" ht="20.149999999999999" hidden="1" customHeight="1" x14ac:dyDescent="0.35">
      <c r="A98" s="171" t="s">
        <v>446</v>
      </c>
      <c r="B98" s="422" t="s">
        <v>1965</v>
      </c>
      <c r="C98" s="422"/>
      <c r="D98" s="422"/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13"/>
      <c r="P98" s="5"/>
    </row>
    <row r="99" spans="1:16" ht="20.149999999999999" hidden="1" customHeight="1" x14ac:dyDescent="0.35">
      <c r="A99" s="171" t="s">
        <v>447</v>
      </c>
      <c r="B99" s="422" t="s">
        <v>1877</v>
      </c>
      <c r="C99" s="422"/>
      <c r="D99" s="422"/>
      <c r="E99" s="422"/>
      <c r="F99" s="422"/>
      <c r="G99" s="422"/>
      <c r="H99" s="422"/>
      <c r="I99" s="422"/>
      <c r="J99" s="422"/>
      <c r="K99" s="422"/>
      <c r="L99" s="422"/>
      <c r="M99" s="422"/>
      <c r="N99" s="422"/>
      <c r="O99" s="1" t="s">
        <v>96</v>
      </c>
      <c r="P99" s="53" t="s">
        <v>272</v>
      </c>
    </row>
    <row r="100" spans="1:16" ht="20.149999999999999" hidden="1" customHeight="1" x14ac:dyDescent="0.35">
      <c r="A100" s="171" t="s">
        <v>450</v>
      </c>
      <c r="B100" s="425" t="s">
        <v>1945</v>
      </c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8"/>
      <c r="O100" s="1" t="s">
        <v>1773</v>
      </c>
      <c r="P100" s="53"/>
    </row>
    <row r="101" spans="1:16" ht="20.149999999999999" hidden="1" customHeight="1" x14ac:dyDescent="0.35">
      <c r="A101" s="91" t="s">
        <v>453</v>
      </c>
      <c r="B101" s="422" t="s">
        <v>1899</v>
      </c>
      <c r="C101" s="422"/>
      <c r="D101" s="422"/>
      <c r="E101" s="422"/>
      <c r="F101" s="422"/>
      <c r="G101" s="422"/>
      <c r="H101" s="422"/>
      <c r="I101" s="422"/>
      <c r="J101" s="422"/>
      <c r="K101" s="422"/>
      <c r="L101" s="422"/>
      <c r="M101" s="422"/>
      <c r="N101" s="422"/>
      <c r="O101" s="1" t="s">
        <v>96</v>
      </c>
      <c r="P101" s="53" t="s">
        <v>272</v>
      </c>
    </row>
    <row r="102" spans="1:16" ht="20.149999999999999" hidden="1" customHeight="1" x14ac:dyDescent="0.35">
      <c r="A102" s="91" t="s">
        <v>454</v>
      </c>
      <c r="B102" s="422" t="s">
        <v>1930</v>
      </c>
      <c r="C102" s="422"/>
      <c r="D102" s="422"/>
      <c r="E102" s="422"/>
      <c r="F102" s="422"/>
      <c r="G102" s="422"/>
      <c r="H102" s="422"/>
      <c r="I102" s="422"/>
      <c r="J102" s="422"/>
      <c r="K102" s="422"/>
      <c r="L102" s="422"/>
      <c r="M102" s="422"/>
      <c r="N102" s="422"/>
      <c r="O102" s="1"/>
      <c r="P102" s="5"/>
    </row>
    <row r="103" spans="1:16" ht="20.149999999999999" hidden="1" customHeight="1" x14ac:dyDescent="0.35">
      <c r="A103" s="91" t="s">
        <v>459</v>
      </c>
      <c r="B103" s="425" t="s">
        <v>655</v>
      </c>
      <c r="C103" s="425"/>
      <c r="D103" s="425"/>
      <c r="E103" s="425"/>
      <c r="F103" s="425"/>
      <c r="G103" s="425"/>
      <c r="H103" s="425"/>
      <c r="I103" s="425"/>
      <c r="J103" s="425"/>
      <c r="K103" s="425"/>
      <c r="L103" s="425"/>
      <c r="M103" s="425"/>
      <c r="N103" s="425"/>
      <c r="O103" s="1" t="s">
        <v>96</v>
      </c>
      <c r="P103" s="5"/>
    </row>
    <row r="104" spans="1:16" ht="20.149999999999999" hidden="1" customHeight="1" x14ac:dyDescent="0.35">
      <c r="A104" s="91" t="s">
        <v>478</v>
      </c>
      <c r="B104" s="422" t="s">
        <v>479</v>
      </c>
      <c r="C104" s="422"/>
      <c r="D104" s="422"/>
      <c r="E104" s="422"/>
      <c r="F104" s="422"/>
      <c r="G104" s="422"/>
      <c r="H104" s="422"/>
      <c r="I104" s="422"/>
      <c r="J104" s="422"/>
      <c r="K104" s="422"/>
      <c r="L104" s="422"/>
      <c r="M104" s="422"/>
      <c r="N104" s="422"/>
      <c r="O104" s="1"/>
      <c r="P104" s="5"/>
    </row>
    <row r="105" spans="1:16" ht="20.149999999999999" hidden="1" customHeight="1" x14ac:dyDescent="0.35">
      <c r="A105" s="171" t="s">
        <v>482</v>
      </c>
      <c r="B105" s="422" t="s">
        <v>480</v>
      </c>
      <c r="C105" s="422"/>
      <c r="D105" s="422"/>
      <c r="E105" s="422"/>
      <c r="F105" s="422"/>
      <c r="G105" s="422"/>
      <c r="H105" s="422"/>
      <c r="I105" s="422"/>
      <c r="J105" s="422"/>
      <c r="K105" s="422"/>
      <c r="L105" s="422"/>
      <c r="M105" s="422"/>
      <c r="N105" s="422"/>
      <c r="O105" s="1"/>
      <c r="P105" s="5"/>
    </row>
    <row r="106" spans="1:16" ht="20.149999999999999" hidden="1" customHeight="1" x14ac:dyDescent="0.35">
      <c r="A106" s="91" t="s">
        <v>485</v>
      </c>
      <c r="B106" s="422" t="s">
        <v>481</v>
      </c>
      <c r="C106" s="422"/>
      <c r="D106" s="422"/>
      <c r="E106" s="422"/>
      <c r="F106" s="422"/>
      <c r="G106" s="422"/>
      <c r="H106" s="422"/>
      <c r="I106" s="422"/>
      <c r="J106" s="422"/>
      <c r="K106" s="422"/>
      <c r="L106" s="422"/>
      <c r="M106" s="422"/>
      <c r="N106" s="422"/>
      <c r="O106" s="1"/>
      <c r="P106" s="5"/>
    </row>
    <row r="107" spans="1:16" ht="20.149999999999999" hidden="1" customHeight="1" x14ac:dyDescent="0.35">
      <c r="A107" s="91" t="s">
        <v>484</v>
      </c>
      <c r="B107" s="426" t="s">
        <v>483</v>
      </c>
      <c r="C107" s="422"/>
      <c r="D107" s="422"/>
      <c r="E107" s="422"/>
      <c r="F107" s="422"/>
      <c r="G107" s="422"/>
      <c r="H107" s="422"/>
      <c r="I107" s="422"/>
      <c r="J107" s="422"/>
      <c r="K107" s="422"/>
      <c r="L107" s="422"/>
      <c r="M107" s="422"/>
      <c r="N107" s="422"/>
      <c r="O107" s="1">
        <v>83398831</v>
      </c>
      <c r="P107" s="5"/>
    </row>
    <row r="108" spans="1:16" ht="20.149999999999999" hidden="1" customHeight="1" x14ac:dyDescent="0.35">
      <c r="A108" s="91" t="s">
        <v>490</v>
      </c>
      <c r="B108" s="423" t="s">
        <v>1719</v>
      </c>
      <c r="C108" s="423"/>
      <c r="D108" s="423"/>
      <c r="E108" s="423"/>
      <c r="F108" s="423"/>
      <c r="G108" s="423"/>
      <c r="H108" s="423"/>
      <c r="I108" s="423"/>
      <c r="J108" s="423"/>
      <c r="K108" s="423"/>
      <c r="L108" s="423"/>
      <c r="M108" s="423"/>
      <c r="N108" s="423"/>
      <c r="O108" s="1" t="s">
        <v>96</v>
      </c>
      <c r="P108" s="5"/>
    </row>
    <row r="109" spans="1:16" ht="20.149999999999999" hidden="1" customHeight="1" x14ac:dyDescent="0.35">
      <c r="A109" s="91" t="s">
        <v>493</v>
      </c>
      <c r="B109" s="423" t="s">
        <v>1720</v>
      </c>
      <c r="C109" s="423"/>
      <c r="D109" s="423"/>
      <c r="E109" s="423"/>
      <c r="F109" s="423"/>
      <c r="G109" s="423"/>
      <c r="H109" s="423"/>
      <c r="I109" s="423"/>
      <c r="J109" s="423"/>
      <c r="K109" s="423"/>
      <c r="L109" s="423"/>
      <c r="M109" s="423"/>
      <c r="N109" s="423"/>
      <c r="O109" s="11" t="s">
        <v>139</v>
      </c>
      <c r="P109" s="5"/>
    </row>
    <row r="110" spans="1:16" ht="20.149999999999999" hidden="1" customHeight="1" x14ac:dyDescent="0.35">
      <c r="A110" s="91" t="s">
        <v>505</v>
      </c>
      <c r="B110" s="423" t="s">
        <v>1721</v>
      </c>
      <c r="C110" s="423"/>
      <c r="D110" s="423"/>
      <c r="E110" s="423"/>
      <c r="F110" s="423"/>
      <c r="G110" s="423"/>
      <c r="H110" s="423"/>
      <c r="I110" s="423"/>
      <c r="J110" s="423"/>
      <c r="K110" s="423"/>
      <c r="L110" s="423"/>
      <c r="M110" s="423"/>
      <c r="N110" s="423"/>
      <c r="O110" s="1" t="s">
        <v>96</v>
      </c>
      <c r="P110" s="5"/>
    </row>
    <row r="111" spans="1:16" ht="20.149999999999999" hidden="1" customHeight="1" x14ac:dyDescent="0.35">
      <c r="A111" s="91" t="s">
        <v>507</v>
      </c>
      <c r="B111" s="425" t="s">
        <v>506</v>
      </c>
      <c r="C111" s="425"/>
      <c r="D111" s="425"/>
      <c r="E111" s="425"/>
      <c r="F111" s="425"/>
      <c r="G111" s="425"/>
      <c r="H111" s="425"/>
      <c r="I111" s="425"/>
      <c r="J111" s="425"/>
      <c r="K111" s="425"/>
      <c r="L111" s="425"/>
      <c r="M111" s="425"/>
      <c r="N111" s="425"/>
      <c r="O111" s="1"/>
      <c r="P111" s="5"/>
    </row>
    <row r="112" spans="1:16" ht="20.149999999999999" hidden="1" customHeight="1" x14ac:dyDescent="0.35">
      <c r="A112" s="91" t="s">
        <v>510</v>
      </c>
      <c r="B112" s="424" t="s">
        <v>1858</v>
      </c>
      <c r="C112" s="425"/>
      <c r="D112" s="425"/>
      <c r="E112" s="425"/>
      <c r="F112" s="425"/>
      <c r="G112" s="425"/>
      <c r="H112" s="425"/>
      <c r="I112" s="425"/>
      <c r="J112" s="425"/>
      <c r="K112" s="425"/>
      <c r="L112" s="425"/>
      <c r="M112" s="425"/>
      <c r="N112" s="425"/>
      <c r="O112" s="1" t="s">
        <v>96</v>
      </c>
      <c r="P112" s="5"/>
    </row>
    <row r="113" spans="1:16" ht="20.149999999999999" hidden="1" customHeight="1" x14ac:dyDescent="0.35">
      <c r="A113" s="59" t="s">
        <v>514</v>
      </c>
      <c r="B113" s="422" t="s">
        <v>1792</v>
      </c>
      <c r="C113" s="422"/>
      <c r="D113" s="422"/>
      <c r="E113" s="422"/>
      <c r="F113" s="422"/>
      <c r="G113" s="422"/>
      <c r="H113" s="422"/>
      <c r="I113" s="422"/>
      <c r="J113" s="422"/>
      <c r="K113" s="422"/>
      <c r="L113" s="422"/>
      <c r="M113" s="422"/>
      <c r="N113" s="422"/>
      <c r="O113" s="132" t="s">
        <v>96</v>
      </c>
      <c r="P113" s="53"/>
    </row>
    <row r="114" spans="1:16" ht="20.149999999999999" hidden="1" customHeight="1" x14ac:dyDescent="0.35">
      <c r="A114" s="91" t="s">
        <v>515</v>
      </c>
      <c r="B114" s="424" t="s">
        <v>1857</v>
      </c>
      <c r="C114" s="425"/>
      <c r="D114" s="425"/>
      <c r="E114" s="425"/>
      <c r="F114" s="425"/>
      <c r="G114" s="425"/>
      <c r="H114" s="425"/>
      <c r="I114" s="425"/>
      <c r="J114" s="425"/>
      <c r="K114" s="425"/>
      <c r="L114" s="425"/>
      <c r="M114" s="425"/>
      <c r="N114" s="425"/>
      <c r="O114" s="1" t="s">
        <v>96</v>
      </c>
      <c r="P114" s="5"/>
    </row>
    <row r="115" spans="1:16" ht="20.149999999999999" hidden="1" customHeight="1" x14ac:dyDescent="0.35">
      <c r="A115" s="222" t="s">
        <v>516</v>
      </c>
      <c r="B115" s="425" t="s">
        <v>1519</v>
      </c>
      <c r="C115" s="425"/>
      <c r="D115" s="425"/>
      <c r="E115" s="425"/>
      <c r="F115" s="425"/>
      <c r="G115" s="425"/>
      <c r="H115" s="425"/>
      <c r="I115" s="425"/>
      <c r="J115" s="425"/>
      <c r="K115" s="425"/>
      <c r="L115" s="425"/>
      <c r="M115" s="425"/>
      <c r="N115" s="425"/>
      <c r="O115" s="1" t="s">
        <v>1773</v>
      </c>
      <c r="P115" s="5"/>
    </row>
    <row r="116" spans="1:16" ht="20.149999999999999" hidden="1" customHeight="1" x14ac:dyDescent="0.35">
      <c r="A116" s="91" t="s">
        <v>520</v>
      </c>
      <c r="B116" s="434" t="s">
        <v>519</v>
      </c>
      <c r="C116" s="435"/>
      <c r="D116" s="435"/>
      <c r="E116" s="435"/>
      <c r="F116" s="435"/>
      <c r="G116" s="435"/>
      <c r="H116" s="435"/>
      <c r="I116" s="435"/>
      <c r="J116" s="435"/>
      <c r="K116" s="435"/>
      <c r="L116" s="435"/>
      <c r="M116" s="435"/>
      <c r="N116" s="436"/>
      <c r="O116" s="1"/>
      <c r="P116" s="5"/>
    </row>
    <row r="117" spans="1:16" ht="20.149999999999999" hidden="1" customHeight="1" x14ac:dyDescent="0.35">
      <c r="A117" s="91" t="s">
        <v>532</v>
      </c>
      <c r="B117" s="425" t="s">
        <v>1520</v>
      </c>
      <c r="C117" s="425"/>
      <c r="D117" s="425"/>
      <c r="E117" s="425"/>
      <c r="F117" s="425"/>
      <c r="G117" s="425"/>
      <c r="H117" s="425"/>
      <c r="I117" s="425"/>
      <c r="J117" s="425"/>
      <c r="K117" s="425"/>
      <c r="L117" s="425"/>
      <c r="M117" s="425"/>
      <c r="N117" s="425"/>
      <c r="O117" s="1"/>
      <c r="P117" s="5"/>
    </row>
    <row r="118" spans="1:16" ht="20.149999999999999" hidden="1" customHeight="1" x14ac:dyDescent="0.35">
      <c r="A118" s="91" t="s">
        <v>1522</v>
      </c>
      <c r="B118" s="425" t="s">
        <v>1521</v>
      </c>
      <c r="C118" s="425"/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1" t="s">
        <v>1773</v>
      </c>
      <c r="P118" s="5"/>
    </row>
    <row r="119" spans="1:16" ht="20.149999999999999" hidden="1" customHeight="1" x14ac:dyDescent="0.35">
      <c r="A119" s="91" t="s">
        <v>535</v>
      </c>
      <c r="B119" s="425" t="s">
        <v>1523</v>
      </c>
      <c r="C119" s="425"/>
      <c r="D119" s="425"/>
      <c r="E119" s="425"/>
      <c r="F119" s="425"/>
      <c r="G119" s="425"/>
      <c r="H119" s="425"/>
      <c r="I119" s="425"/>
      <c r="J119" s="425"/>
      <c r="K119" s="425"/>
      <c r="L119" s="425"/>
      <c r="M119" s="425"/>
      <c r="N119" s="425"/>
      <c r="O119" s="1" t="s">
        <v>1773</v>
      </c>
      <c r="P119" s="5"/>
    </row>
    <row r="120" spans="1:16" ht="20.149999999999999" hidden="1" customHeight="1" x14ac:dyDescent="0.35">
      <c r="A120" s="91" t="s">
        <v>538</v>
      </c>
      <c r="B120" s="425" t="s">
        <v>539</v>
      </c>
      <c r="C120" s="425"/>
      <c r="D120" s="425"/>
      <c r="E120" s="425"/>
      <c r="F120" s="425"/>
      <c r="G120" s="425"/>
      <c r="H120" s="425"/>
      <c r="I120" s="425"/>
      <c r="J120" s="425"/>
      <c r="K120" s="425"/>
      <c r="L120" s="425"/>
      <c r="M120" s="425"/>
      <c r="N120" s="425"/>
      <c r="O120" s="1"/>
      <c r="P120" s="5"/>
    </row>
    <row r="121" spans="1:16" ht="20.149999999999999" hidden="1" customHeight="1" x14ac:dyDescent="0.35">
      <c r="A121" s="91" t="s">
        <v>540</v>
      </c>
      <c r="B121" s="425" t="s">
        <v>541</v>
      </c>
      <c r="C121" s="425"/>
      <c r="D121" s="425"/>
      <c r="E121" s="425"/>
      <c r="F121" s="425"/>
      <c r="G121" s="425"/>
      <c r="H121" s="425"/>
      <c r="I121" s="425"/>
      <c r="J121" s="425"/>
      <c r="K121" s="425"/>
      <c r="L121" s="425"/>
      <c r="M121" s="425"/>
      <c r="N121" s="425"/>
      <c r="O121" s="1"/>
      <c r="P121" s="5"/>
    </row>
    <row r="122" spans="1:16" ht="20.149999999999999" hidden="1" customHeight="1" x14ac:dyDescent="0.35">
      <c r="A122" s="91" t="s">
        <v>1528</v>
      </c>
      <c r="B122" s="425" t="s">
        <v>1529</v>
      </c>
      <c r="C122" s="425"/>
      <c r="D122" s="425"/>
      <c r="E122" s="425"/>
      <c r="F122" s="425"/>
      <c r="G122" s="425"/>
      <c r="H122" s="425"/>
      <c r="I122" s="425"/>
      <c r="J122" s="425"/>
      <c r="K122" s="425"/>
      <c r="L122" s="425"/>
      <c r="M122" s="425"/>
      <c r="N122" s="425"/>
      <c r="O122" s="1" t="s">
        <v>96</v>
      </c>
      <c r="P122" s="5"/>
    </row>
    <row r="123" spans="1:16" ht="20.149999999999999" hidden="1" customHeight="1" x14ac:dyDescent="0.35">
      <c r="A123" s="91" t="s">
        <v>547</v>
      </c>
      <c r="B123" s="422" t="s">
        <v>1362</v>
      </c>
      <c r="C123" s="422"/>
      <c r="D123" s="422"/>
      <c r="E123" s="422"/>
      <c r="F123" s="422"/>
      <c r="G123" s="422"/>
      <c r="H123" s="422"/>
      <c r="I123" s="422"/>
      <c r="J123" s="422"/>
      <c r="K123" s="422"/>
      <c r="L123" s="422"/>
      <c r="M123" s="422"/>
      <c r="N123" s="422"/>
      <c r="O123" s="1" t="s">
        <v>96</v>
      </c>
      <c r="P123" s="5"/>
    </row>
    <row r="124" spans="1:16" ht="20.149999999999999" hidden="1" customHeight="1" x14ac:dyDescent="0.35">
      <c r="A124" s="91" t="s">
        <v>548</v>
      </c>
      <c r="B124" s="425" t="s">
        <v>1645</v>
      </c>
      <c r="C124" s="425"/>
      <c r="D124" s="425"/>
      <c r="E124" s="425"/>
      <c r="F124" s="425"/>
      <c r="G124" s="425"/>
      <c r="H124" s="425"/>
      <c r="I124" s="425"/>
      <c r="J124" s="425"/>
      <c r="K124" s="425"/>
      <c r="L124" s="425"/>
      <c r="M124" s="425"/>
      <c r="N124" s="425"/>
      <c r="O124" s="1" t="s">
        <v>96</v>
      </c>
      <c r="P124" s="5"/>
    </row>
    <row r="125" spans="1:16" ht="20.149999999999999" hidden="1" customHeight="1" x14ac:dyDescent="0.35">
      <c r="A125" s="91" t="s">
        <v>551</v>
      </c>
      <c r="B125" s="422" t="s">
        <v>684</v>
      </c>
      <c r="C125" s="422"/>
      <c r="D125" s="422"/>
      <c r="E125" s="422"/>
      <c r="F125" s="422"/>
      <c r="G125" s="422"/>
      <c r="H125" s="422"/>
      <c r="I125" s="422"/>
      <c r="J125" s="422"/>
      <c r="K125" s="422"/>
      <c r="L125" s="422"/>
      <c r="M125" s="422"/>
      <c r="N125" s="422"/>
      <c r="O125" s="1"/>
      <c r="P125" s="5"/>
    </row>
    <row r="126" spans="1:16" ht="20.149999999999999" hidden="1" customHeight="1" x14ac:dyDescent="0.35">
      <c r="A126" s="91" t="s">
        <v>554</v>
      </c>
      <c r="B126" s="422" t="s">
        <v>2140</v>
      </c>
      <c r="C126" s="422"/>
      <c r="D126" s="422"/>
      <c r="E126" s="422"/>
      <c r="F126" s="422"/>
      <c r="G126" s="422"/>
      <c r="H126" s="422"/>
      <c r="I126" s="422"/>
      <c r="J126" s="422"/>
      <c r="K126" s="422"/>
      <c r="L126" s="422"/>
      <c r="M126" s="422"/>
      <c r="N126" s="422"/>
      <c r="O126" s="1"/>
      <c r="P126" s="5"/>
    </row>
    <row r="127" spans="1:16" ht="20.149999999999999" hidden="1" customHeight="1" x14ac:dyDescent="0.35">
      <c r="A127" s="91" t="s">
        <v>557</v>
      </c>
      <c r="B127" s="425" t="s">
        <v>1995</v>
      </c>
      <c r="C127" s="425"/>
      <c r="D127" s="425"/>
      <c r="E127" s="425"/>
      <c r="F127" s="425"/>
      <c r="G127" s="425"/>
      <c r="H127" s="425"/>
      <c r="I127" s="425"/>
      <c r="J127" s="425"/>
      <c r="K127" s="425"/>
      <c r="L127" s="425"/>
      <c r="M127" s="425"/>
      <c r="N127" s="425"/>
      <c r="O127" s="1" t="s">
        <v>1773</v>
      </c>
      <c r="P127" s="5"/>
    </row>
    <row r="128" spans="1:16" ht="20.149999999999999" hidden="1" customHeight="1" x14ac:dyDescent="0.35">
      <c r="A128" s="91" t="s">
        <v>569</v>
      </c>
      <c r="B128" s="422" t="s">
        <v>570</v>
      </c>
      <c r="C128" s="422"/>
      <c r="D128" s="422"/>
      <c r="E128" s="422"/>
      <c r="F128" s="422"/>
      <c r="G128" s="422"/>
      <c r="H128" s="422"/>
      <c r="I128" s="422"/>
      <c r="J128" s="422"/>
      <c r="K128" s="422"/>
      <c r="L128" s="422"/>
      <c r="M128" s="422"/>
      <c r="N128" s="422"/>
      <c r="O128" s="1"/>
      <c r="P128" s="5"/>
    </row>
    <row r="129" spans="1:16" ht="20.149999999999999" hidden="1" customHeight="1" x14ac:dyDescent="0.35">
      <c r="A129" s="91" t="s">
        <v>574</v>
      </c>
      <c r="B129" s="422" t="s">
        <v>575</v>
      </c>
      <c r="C129" s="422"/>
      <c r="D129" s="422"/>
      <c r="E129" s="422"/>
      <c r="F129" s="422"/>
      <c r="G129" s="422"/>
      <c r="H129" s="422"/>
      <c r="I129" s="422"/>
      <c r="J129" s="422"/>
      <c r="K129" s="422"/>
      <c r="L129" s="422"/>
      <c r="M129" s="422"/>
      <c r="N129" s="422"/>
      <c r="O129" s="1"/>
      <c r="P129" s="5"/>
    </row>
    <row r="130" spans="1:16" ht="20.149999999999999" hidden="1" customHeight="1" x14ac:dyDescent="0.35">
      <c r="A130" s="91" t="s">
        <v>576</v>
      </c>
      <c r="B130" s="431" t="s">
        <v>577</v>
      </c>
      <c r="C130" s="432"/>
      <c r="D130" s="432"/>
      <c r="E130" s="432"/>
      <c r="F130" s="432"/>
      <c r="G130" s="432"/>
      <c r="H130" s="432"/>
      <c r="I130" s="432"/>
      <c r="J130" s="432"/>
      <c r="K130" s="432"/>
      <c r="L130" s="432"/>
      <c r="M130" s="432"/>
      <c r="N130" s="433"/>
      <c r="O130" s="1"/>
      <c r="P130" s="5"/>
    </row>
    <row r="131" spans="1:16" ht="20.149999999999999" hidden="1" customHeight="1" x14ac:dyDescent="0.35">
      <c r="A131" s="91" t="s">
        <v>579</v>
      </c>
      <c r="B131" s="422" t="s">
        <v>1364</v>
      </c>
      <c r="C131" s="422"/>
      <c r="D131" s="422"/>
      <c r="E131" s="422"/>
      <c r="F131" s="422"/>
      <c r="G131" s="422"/>
      <c r="H131" s="422"/>
      <c r="I131" s="422"/>
      <c r="J131" s="422"/>
      <c r="K131" s="422"/>
      <c r="L131" s="422"/>
      <c r="M131" s="422"/>
      <c r="N131" s="422"/>
      <c r="O131" s="1"/>
      <c r="P131" s="5"/>
    </row>
    <row r="132" spans="1:16" ht="20.149999999999999" hidden="1" customHeight="1" x14ac:dyDescent="0.35">
      <c r="A132" s="91" t="s">
        <v>580</v>
      </c>
      <c r="B132" s="422" t="s">
        <v>583</v>
      </c>
      <c r="C132" s="422"/>
      <c r="D132" s="422"/>
      <c r="E132" s="422"/>
      <c r="F132" s="422"/>
      <c r="G132" s="422"/>
      <c r="H132" s="422"/>
      <c r="I132" s="422"/>
      <c r="J132" s="422"/>
      <c r="K132" s="422"/>
      <c r="L132" s="422"/>
      <c r="M132" s="422"/>
      <c r="N132" s="422"/>
      <c r="O132" s="1" t="s">
        <v>96</v>
      </c>
      <c r="P132" s="5"/>
    </row>
    <row r="133" spans="1:16" ht="20.149999999999999" hidden="1" customHeight="1" x14ac:dyDescent="0.35">
      <c r="A133" s="91" t="s">
        <v>581</v>
      </c>
      <c r="B133" s="422" t="s">
        <v>582</v>
      </c>
      <c r="C133" s="422"/>
      <c r="D133" s="422"/>
      <c r="E133" s="422"/>
      <c r="F133" s="422"/>
      <c r="G133" s="422"/>
      <c r="H133" s="422"/>
      <c r="I133" s="422"/>
      <c r="J133" s="422"/>
      <c r="K133" s="422"/>
      <c r="L133" s="422"/>
      <c r="M133" s="422"/>
      <c r="N133" s="422"/>
      <c r="O133" s="1" t="s">
        <v>96</v>
      </c>
      <c r="P133" s="5"/>
    </row>
    <row r="134" spans="1:16" ht="20.149999999999999" hidden="1" customHeight="1" x14ac:dyDescent="0.35">
      <c r="A134" s="91" t="s">
        <v>585</v>
      </c>
      <c r="B134" s="422" t="s">
        <v>1672</v>
      </c>
      <c r="C134" s="422"/>
      <c r="D134" s="422"/>
      <c r="E134" s="422"/>
      <c r="F134" s="422"/>
      <c r="G134" s="422"/>
      <c r="H134" s="422"/>
      <c r="I134" s="422"/>
      <c r="J134" s="422"/>
      <c r="K134" s="422"/>
      <c r="L134" s="422"/>
      <c r="M134" s="422"/>
      <c r="N134" s="422"/>
      <c r="O134" s="1" t="s">
        <v>96</v>
      </c>
      <c r="P134" s="5"/>
    </row>
    <row r="135" spans="1:16" ht="20.149999999999999" hidden="1" customHeight="1" x14ac:dyDescent="0.35">
      <c r="A135" s="91" t="s">
        <v>591</v>
      </c>
      <c r="B135" s="422" t="s">
        <v>592</v>
      </c>
      <c r="C135" s="422"/>
      <c r="D135" s="422"/>
      <c r="E135" s="422"/>
      <c r="F135" s="422"/>
      <c r="G135" s="422"/>
      <c r="H135" s="422"/>
      <c r="I135" s="422"/>
      <c r="J135" s="422"/>
      <c r="K135" s="422"/>
      <c r="L135" s="422"/>
      <c r="M135" s="422"/>
      <c r="N135" s="422"/>
      <c r="O135" s="1" t="s">
        <v>96</v>
      </c>
      <c r="P135" s="5"/>
    </row>
    <row r="136" spans="1:16" ht="20.149999999999999" hidden="1" customHeight="1" x14ac:dyDescent="0.35">
      <c r="A136" s="1" t="s">
        <v>593</v>
      </c>
      <c r="B136" s="1" t="s">
        <v>594</v>
      </c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5"/>
    </row>
    <row r="137" spans="1:16" ht="20.149999999999999" hidden="1" customHeight="1" x14ac:dyDescent="0.35">
      <c r="A137" s="91" t="s">
        <v>595</v>
      </c>
      <c r="B137" s="425" t="s">
        <v>1684</v>
      </c>
      <c r="C137" s="425"/>
      <c r="D137" s="425"/>
      <c r="E137" s="425"/>
      <c r="F137" s="425"/>
      <c r="G137" s="425"/>
      <c r="H137" s="425"/>
      <c r="I137" s="425"/>
      <c r="J137" s="425"/>
      <c r="K137" s="425"/>
      <c r="L137" s="425"/>
      <c r="M137" s="425"/>
      <c r="N137" s="425"/>
      <c r="O137" s="13" t="s">
        <v>95</v>
      </c>
      <c r="P137" s="5"/>
    </row>
    <row r="138" spans="1:16" ht="20.149999999999999" hidden="1" customHeight="1" x14ac:dyDescent="0.35">
      <c r="A138" s="91" t="s">
        <v>596</v>
      </c>
      <c r="B138" s="422" t="s">
        <v>597</v>
      </c>
      <c r="C138" s="422"/>
      <c r="D138" s="422"/>
      <c r="E138" s="422"/>
      <c r="F138" s="422"/>
      <c r="G138" s="422"/>
      <c r="H138" s="422"/>
      <c r="I138" s="422"/>
      <c r="J138" s="422"/>
      <c r="K138" s="422"/>
      <c r="L138" s="422"/>
      <c r="M138" s="422"/>
      <c r="N138" s="422"/>
      <c r="O138" s="1" t="s">
        <v>96</v>
      </c>
      <c r="P138" s="5"/>
    </row>
    <row r="139" spans="1:16" ht="20.149999999999999" hidden="1" customHeight="1" x14ac:dyDescent="0.35">
      <c r="A139" s="171" t="s">
        <v>598</v>
      </c>
      <c r="B139" s="422" t="s">
        <v>1673</v>
      </c>
      <c r="C139" s="422"/>
      <c r="D139" s="422"/>
      <c r="E139" s="422"/>
      <c r="F139" s="422"/>
      <c r="G139" s="422"/>
      <c r="H139" s="422"/>
      <c r="I139" s="422"/>
      <c r="J139" s="422"/>
      <c r="K139" s="422"/>
      <c r="L139" s="422"/>
      <c r="M139" s="422"/>
      <c r="N139" s="422"/>
      <c r="O139" s="1" t="s">
        <v>96</v>
      </c>
      <c r="P139" s="5"/>
    </row>
    <row r="140" spans="1:16" ht="20.149999999999999" hidden="1" customHeight="1" x14ac:dyDescent="0.35">
      <c r="A140" s="171" t="s">
        <v>601</v>
      </c>
      <c r="B140" s="1" t="s">
        <v>602</v>
      </c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5"/>
    </row>
    <row r="141" spans="1:16" ht="20.149999999999999" hidden="1" customHeight="1" x14ac:dyDescent="0.35">
      <c r="A141" s="171" t="s">
        <v>619</v>
      </c>
      <c r="B141" s="422" t="s">
        <v>620</v>
      </c>
      <c r="C141" s="422"/>
      <c r="D141" s="422"/>
      <c r="E141" s="422"/>
      <c r="F141" s="422"/>
      <c r="G141" s="422"/>
      <c r="H141" s="422"/>
      <c r="I141" s="422"/>
      <c r="J141" s="422"/>
      <c r="K141" s="422"/>
      <c r="L141" s="422"/>
      <c r="M141" s="422"/>
      <c r="N141" s="422"/>
      <c r="O141" s="1"/>
      <c r="P141" s="5"/>
    </row>
    <row r="142" spans="1:16" ht="20.149999999999999" hidden="1" customHeight="1" x14ac:dyDescent="0.35">
      <c r="A142" s="171" t="s">
        <v>621</v>
      </c>
      <c r="B142" s="422" t="s">
        <v>1649</v>
      </c>
      <c r="C142" s="422"/>
      <c r="D142" s="422"/>
      <c r="E142" s="422"/>
      <c r="F142" s="422"/>
      <c r="G142" s="422"/>
      <c r="H142" s="422"/>
      <c r="I142" s="422"/>
      <c r="J142" s="422"/>
      <c r="K142" s="422"/>
      <c r="L142" s="422"/>
      <c r="M142" s="422"/>
      <c r="N142" s="422"/>
      <c r="O142" s="1"/>
      <c r="P142" s="5"/>
    </row>
    <row r="143" spans="1:16" ht="20.149999999999999" hidden="1" customHeight="1" x14ac:dyDescent="0.35">
      <c r="A143" s="171" t="s">
        <v>624</v>
      </c>
      <c r="B143" s="422" t="s">
        <v>625</v>
      </c>
      <c r="C143" s="422"/>
      <c r="D143" s="422"/>
      <c r="E143" s="422"/>
      <c r="F143" s="422"/>
      <c r="G143" s="422"/>
      <c r="H143" s="422"/>
      <c r="I143" s="422"/>
      <c r="J143" s="422"/>
      <c r="K143" s="422"/>
      <c r="L143" s="422"/>
      <c r="M143" s="422"/>
      <c r="N143" s="422"/>
      <c r="O143" s="1"/>
      <c r="P143" s="5"/>
    </row>
    <row r="144" spans="1:16" ht="20.149999999999999" hidden="1" customHeight="1" x14ac:dyDescent="0.35">
      <c r="A144" s="91" t="s">
        <v>646</v>
      </c>
      <c r="B144" s="425" t="s">
        <v>1656</v>
      </c>
      <c r="C144" s="425"/>
      <c r="D144" s="425"/>
      <c r="E144" s="425"/>
      <c r="F144" s="425"/>
      <c r="G144" s="425"/>
      <c r="H144" s="425"/>
      <c r="I144" s="425"/>
      <c r="J144" s="425"/>
      <c r="K144" s="425"/>
      <c r="L144" s="425"/>
      <c r="M144" s="425"/>
      <c r="N144" s="425"/>
      <c r="O144" s="1"/>
      <c r="P144" s="5"/>
    </row>
    <row r="145" spans="1:16" ht="20.149999999999999" hidden="1" customHeight="1" x14ac:dyDescent="0.35">
      <c r="A145" s="91" t="s">
        <v>647</v>
      </c>
      <c r="B145" s="425" t="s">
        <v>1699</v>
      </c>
      <c r="C145" s="425"/>
      <c r="D145" s="425"/>
      <c r="E145" s="425"/>
      <c r="F145" s="425"/>
      <c r="G145" s="425"/>
      <c r="H145" s="425"/>
      <c r="I145" s="425"/>
      <c r="J145" s="425"/>
      <c r="K145" s="425"/>
      <c r="L145" s="425"/>
      <c r="M145" s="425"/>
      <c r="N145" s="425"/>
      <c r="O145" s="1"/>
      <c r="P145" s="5"/>
    </row>
    <row r="146" spans="1:16" ht="20.149999999999999" hidden="1" customHeight="1" x14ac:dyDescent="0.35">
      <c r="A146" s="91" t="s">
        <v>653</v>
      </c>
      <c r="B146" s="422" t="s">
        <v>1724</v>
      </c>
      <c r="C146" s="422"/>
      <c r="D146" s="422"/>
      <c r="E146" s="422"/>
      <c r="F146" s="422"/>
      <c r="G146" s="422"/>
      <c r="H146" s="422"/>
      <c r="I146" s="422"/>
      <c r="J146" s="422"/>
      <c r="K146" s="422"/>
      <c r="L146" s="422"/>
      <c r="M146" s="422"/>
      <c r="N146" s="422"/>
      <c r="O146" s="1"/>
      <c r="P146" s="5"/>
    </row>
    <row r="147" spans="1:16" ht="20.149999999999999" hidden="1" customHeight="1" x14ac:dyDescent="0.35">
      <c r="A147" s="91" t="s">
        <v>664</v>
      </c>
      <c r="B147" s="422" t="s">
        <v>1716</v>
      </c>
      <c r="C147" s="422"/>
      <c r="D147" s="422"/>
      <c r="E147" s="422"/>
      <c r="F147" s="422"/>
      <c r="G147" s="422"/>
      <c r="H147" s="422"/>
      <c r="I147" s="422"/>
      <c r="J147" s="422"/>
      <c r="K147" s="422"/>
      <c r="L147" s="422"/>
      <c r="M147" s="422"/>
      <c r="N147" s="422"/>
      <c r="O147" s="1"/>
      <c r="P147" s="5"/>
    </row>
    <row r="148" spans="1:16" ht="20.149999999999999" hidden="1" customHeight="1" x14ac:dyDescent="0.35">
      <c r="A148" s="91" t="s">
        <v>667</v>
      </c>
      <c r="B148" s="430" t="s">
        <v>1758</v>
      </c>
      <c r="C148" s="430"/>
      <c r="D148" s="430"/>
      <c r="E148" s="430"/>
      <c r="F148" s="430"/>
      <c r="G148" s="430"/>
      <c r="H148" s="430"/>
      <c r="I148" s="430"/>
      <c r="J148" s="430"/>
      <c r="K148" s="430"/>
      <c r="L148" s="430"/>
      <c r="M148" s="430"/>
      <c r="N148" s="430"/>
      <c r="O148" s="1"/>
      <c r="P148" s="5"/>
    </row>
    <row r="149" spans="1:16" ht="20.149999999999999" hidden="1" customHeight="1" x14ac:dyDescent="0.35">
      <c r="A149" s="91" t="s">
        <v>671</v>
      </c>
      <c r="B149" s="425" t="s">
        <v>1683</v>
      </c>
      <c r="C149" s="425"/>
      <c r="D149" s="425"/>
      <c r="E149" s="425"/>
      <c r="F149" s="425"/>
      <c r="G149" s="425"/>
      <c r="H149" s="425"/>
      <c r="I149" s="425"/>
      <c r="J149" s="425"/>
      <c r="K149" s="425"/>
      <c r="L149" s="425"/>
      <c r="M149" s="425"/>
      <c r="N149" s="425"/>
      <c r="O149" s="1" t="s">
        <v>1773</v>
      </c>
      <c r="P149" s="5"/>
    </row>
    <row r="150" spans="1:16" ht="20.149999999999999" hidden="1" customHeight="1" x14ac:dyDescent="0.35">
      <c r="A150" s="171" t="s">
        <v>672</v>
      </c>
      <c r="B150" s="422" t="s">
        <v>1871</v>
      </c>
      <c r="C150" s="422"/>
      <c r="D150" s="422"/>
      <c r="E150" s="422"/>
      <c r="F150" s="422"/>
      <c r="G150" s="422"/>
      <c r="H150" s="422"/>
      <c r="I150" s="422"/>
      <c r="J150" s="422"/>
      <c r="K150" s="422"/>
      <c r="L150" s="422"/>
      <c r="M150" s="422"/>
      <c r="N150" s="422"/>
      <c r="O150" s="1" t="s">
        <v>96</v>
      </c>
      <c r="P150" s="5"/>
    </row>
    <row r="151" spans="1:16" ht="20.149999999999999" hidden="1" customHeight="1" x14ac:dyDescent="0.35">
      <c r="A151" s="171" t="s">
        <v>673</v>
      </c>
      <c r="B151" s="430" t="s">
        <v>675</v>
      </c>
      <c r="C151" s="430"/>
      <c r="D151" s="430"/>
      <c r="E151" s="430"/>
      <c r="F151" s="430"/>
      <c r="G151" s="430"/>
      <c r="H151" s="430"/>
      <c r="I151" s="430"/>
      <c r="J151" s="430"/>
      <c r="K151" s="430"/>
      <c r="L151" s="430"/>
      <c r="M151" s="430"/>
      <c r="N151" s="430"/>
      <c r="O151" s="1"/>
      <c r="P151" s="5"/>
    </row>
    <row r="152" spans="1:16" ht="20.149999999999999" hidden="1" customHeight="1" x14ac:dyDescent="0.35">
      <c r="A152" s="171" t="s">
        <v>683</v>
      </c>
      <c r="B152" s="422" t="s">
        <v>689</v>
      </c>
      <c r="C152" s="422"/>
      <c r="D152" s="422"/>
      <c r="E152" s="422"/>
      <c r="F152" s="422"/>
      <c r="G152" s="422"/>
      <c r="H152" s="422"/>
      <c r="I152" s="422"/>
      <c r="J152" s="422"/>
      <c r="K152" s="422"/>
      <c r="L152" s="422"/>
      <c r="M152" s="422"/>
      <c r="N152" s="422"/>
      <c r="O152" s="1" t="s">
        <v>96</v>
      </c>
      <c r="P152" s="5"/>
    </row>
    <row r="153" spans="1:16" ht="20.149999999999999" hidden="1" customHeight="1" x14ac:dyDescent="0.35">
      <c r="A153" s="91" t="s">
        <v>693</v>
      </c>
      <c r="B153" s="429" t="s">
        <v>1524</v>
      </c>
      <c r="C153" s="429"/>
      <c r="D153" s="429"/>
      <c r="E153" s="429"/>
      <c r="F153" s="429"/>
      <c r="G153" s="429"/>
      <c r="H153" s="429"/>
      <c r="I153" s="429"/>
      <c r="J153" s="429"/>
      <c r="K153" s="429"/>
      <c r="L153" s="429"/>
      <c r="M153" s="429"/>
      <c r="N153" s="429"/>
      <c r="O153" s="1" t="s">
        <v>1773</v>
      </c>
      <c r="P153" s="5"/>
    </row>
    <row r="154" spans="1:16" ht="20.149999999999999" hidden="1" customHeight="1" x14ac:dyDescent="0.35">
      <c r="A154" s="91" t="s">
        <v>1049</v>
      </c>
      <c r="B154" s="422" t="s">
        <v>1902</v>
      </c>
      <c r="C154" s="422"/>
      <c r="D154" s="422"/>
      <c r="E154" s="422"/>
      <c r="F154" s="422"/>
      <c r="G154" s="422"/>
      <c r="H154" s="422"/>
      <c r="I154" s="422"/>
      <c r="J154" s="422"/>
      <c r="K154" s="422"/>
      <c r="L154" s="422"/>
      <c r="M154" s="422"/>
      <c r="N154" s="422"/>
      <c r="O154" s="1" t="s">
        <v>96</v>
      </c>
      <c r="P154" s="5"/>
    </row>
    <row r="155" spans="1:16" ht="20.149999999999999" hidden="1" customHeight="1" x14ac:dyDescent="0.35">
      <c r="A155" s="91" t="s">
        <v>1053</v>
      </c>
      <c r="B155" s="422" t="s">
        <v>1690</v>
      </c>
      <c r="C155" s="422"/>
      <c r="D155" s="422"/>
      <c r="E155" s="422"/>
      <c r="F155" s="422"/>
      <c r="G155" s="422"/>
      <c r="H155" s="422"/>
      <c r="I155" s="422"/>
      <c r="J155" s="422"/>
      <c r="K155" s="422"/>
      <c r="L155" s="422"/>
      <c r="M155" s="422"/>
      <c r="N155" s="422"/>
      <c r="O155" s="1"/>
      <c r="P155" s="5"/>
    </row>
    <row r="156" spans="1:16" ht="20.149999999999999" hidden="1" customHeight="1" x14ac:dyDescent="0.35">
      <c r="A156" s="91" t="s">
        <v>1057</v>
      </c>
      <c r="B156" s="422" t="s">
        <v>2074</v>
      </c>
      <c r="C156" s="422"/>
      <c r="D156" s="422"/>
      <c r="E156" s="422"/>
      <c r="F156" s="422"/>
      <c r="G156" s="422"/>
      <c r="H156" s="422"/>
      <c r="I156" s="422"/>
      <c r="J156" s="422"/>
      <c r="K156" s="422"/>
      <c r="L156" s="422"/>
      <c r="M156" s="422"/>
      <c r="N156" s="422"/>
      <c r="O156" s="1" t="s">
        <v>96</v>
      </c>
      <c r="P156" s="5"/>
    </row>
    <row r="157" spans="1:16" ht="20.149999999999999" hidden="1" customHeight="1" x14ac:dyDescent="0.35">
      <c r="A157" s="91" t="s">
        <v>1058</v>
      </c>
      <c r="B157" s="422" t="s">
        <v>1059</v>
      </c>
      <c r="C157" s="422"/>
      <c r="D157" s="422"/>
      <c r="E157" s="422"/>
      <c r="F157" s="422"/>
      <c r="G157" s="422"/>
      <c r="H157" s="422"/>
      <c r="I157" s="422"/>
      <c r="J157" s="422"/>
      <c r="K157" s="422"/>
      <c r="L157" s="422"/>
      <c r="M157" s="422"/>
      <c r="N157" s="422"/>
      <c r="O157" s="1"/>
      <c r="P157" s="5"/>
    </row>
    <row r="158" spans="1:16" ht="20" hidden="1" customHeight="1" x14ac:dyDescent="0.35">
      <c r="A158" s="91" t="s">
        <v>1060</v>
      </c>
      <c r="B158" s="425" t="s">
        <v>1665</v>
      </c>
      <c r="C158" s="425"/>
      <c r="D158" s="425"/>
      <c r="E158" s="425"/>
      <c r="F158" s="425"/>
      <c r="G158" s="425"/>
      <c r="H158" s="425"/>
      <c r="I158" s="425"/>
      <c r="J158" s="425"/>
      <c r="K158" s="425"/>
      <c r="L158" s="425"/>
      <c r="M158" s="425"/>
      <c r="N158" s="425"/>
      <c r="O158" s="1" t="s">
        <v>1773</v>
      </c>
      <c r="P158" s="5"/>
    </row>
    <row r="159" spans="1:16" ht="20" hidden="1" customHeight="1" x14ac:dyDescent="0.35">
      <c r="A159" s="91" t="s">
        <v>1066</v>
      </c>
      <c r="B159" s="422" t="s">
        <v>1675</v>
      </c>
      <c r="C159" s="422"/>
      <c r="D159" s="422"/>
      <c r="E159" s="422"/>
      <c r="F159" s="422"/>
      <c r="G159" s="422"/>
      <c r="H159" s="422"/>
      <c r="I159" s="422"/>
      <c r="J159" s="422"/>
      <c r="K159" s="422"/>
      <c r="L159" s="422"/>
      <c r="M159" s="422"/>
      <c r="N159" s="422"/>
      <c r="O159" s="1"/>
      <c r="P159" s="5"/>
    </row>
    <row r="160" spans="1:16" ht="20" hidden="1" customHeight="1" x14ac:dyDescent="0.35">
      <c r="A160" s="91" t="s">
        <v>1101</v>
      </c>
      <c r="B160" s="425" t="s">
        <v>1703</v>
      </c>
      <c r="C160" s="425"/>
      <c r="D160" s="425"/>
      <c r="E160" s="425"/>
      <c r="F160" s="425"/>
      <c r="G160" s="425"/>
      <c r="H160" s="425"/>
      <c r="I160" s="425"/>
      <c r="J160" s="425"/>
      <c r="K160" s="425"/>
      <c r="L160" s="425"/>
      <c r="M160" s="425"/>
      <c r="N160" s="425"/>
      <c r="O160" s="1" t="s">
        <v>1773</v>
      </c>
      <c r="P160" s="5"/>
    </row>
    <row r="161" spans="1:16" ht="20" hidden="1" customHeight="1" x14ac:dyDescent="0.35">
      <c r="A161" s="91" t="s">
        <v>1102</v>
      </c>
      <c r="B161" s="422" t="s">
        <v>1120</v>
      </c>
      <c r="C161" s="422"/>
      <c r="D161" s="422"/>
      <c r="E161" s="422"/>
      <c r="F161" s="422"/>
      <c r="G161" s="422"/>
      <c r="H161" s="422"/>
      <c r="I161" s="422"/>
      <c r="J161" s="422"/>
      <c r="K161" s="422"/>
      <c r="L161" s="422"/>
      <c r="M161" s="422"/>
      <c r="N161" s="422"/>
      <c r="O161" s="1"/>
      <c r="P161" s="5"/>
    </row>
    <row r="162" spans="1:16" ht="20" hidden="1" customHeight="1" x14ac:dyDescent="0.35">
      <c r="A162" s="91" t="s">
        <v>1106</v>
      </c>
      <c r="B162" s="422" t="s">
        <v>2189</v>
      </c>
      <c r="C162" s="422"/>
      <c r="D162" s="422"/>
      <c r="E162" s="422"/>
      <c r="F162" s="422"/>
      <c r="G162" s="422"/>
      <c r="H162" s="422"/>
      <c r="I162" s="422"/>
      <c r="J162" s="422"/>
      <c r="K162" s="422"/>
      <c r="L162" s="422"/>
      <c r="M162" s="422"/>
      <c r="N162" s="422"/>
      <c r="O162" s="1"/>
      <c r="P162" s="5"/>
    </row>
    <row r="163" spans="1:16" ht="20" hidden="1" customHeight="1" x14ac:dyDescent="0.35">
      <c r="A163" s="91" t="s">
        <v>1114</v>
      </c>
      <c r="B163" s="422" t="s">
        <v>1115</v>
      </c>
      <c r="C163" s="422"/>
      <c r="D163" s="422"/>
      <c r="E163" s="422"/>
      <c r="F163" s="422"/>
      <c r="G163" s="422"/>
      <c r="H163" s="422"/>
      <c r="I163" s="422"/>
      <c r="J163" s="422"/>
      <c r="K163" s="422"/>
      <c r="L163" s="422"/>
      <c r="M163" s="422"/>
      <c r="N163" s="422"/>
      <c r="O163" s="1"/>
      <c r="P163" s="5"/>
    </row>
    <row r="164" spans="1:16" ht="20" hidden="1" customHeight="1" x14ac:dyDescent="0.35">
      <c r="A164" s="91" t="s">
        <v>1119</v>
      </c>
      <c r="B164" s="422" t="s">
        <v>1903</v>
      </c>
      <c r="C164" s="422"/>
      <c r="D164" s="422"/>
      <c r="E164" s="422"/>
      <c r="F164" s="422"/>
      <c r="G164" s="422"/>
      <c r="H164" s="422"/>
      <c r="I164" s="422"/>
      <c r="J164" s="422"/>
      <c r="K164" s="422"/>
      <c r="L164" s="422"/>
      <c r="M164" s="422"/>
      <c r="N164" s="422"/>
      <c r="O164" s="1" t="s">
        <v>96</v>
      </c>
      <c r="P164" s="5"/>
    </row>
    <row r="165" spans="1:16" ht="20" hidden="1" customHeight="1" x14ac:dyDescent="0.35">
      <c r="A165" s="91" t="s">
        <v>1121</v>
      </c>
      <c r="B165" s="422" t="s">
        <v>1122</v>
      </c>
      <c r="C165" s="422"/>
      <c r="D165" s="422"/>
      <c r="E165" s="422"/>
      <c r="F165" s="422"/>
      <c r="G165" s="422"/>
      <c r="H165" s="422"/>
      <c r="I165" s="422"/>
      <c r="J165" s="422"/>
      <c r="K165" s="422"/>
      <c r="L165" s="422"/>
      <c r="M165" s="422"/>
      <c r="N165" s="422"/>
      <c r="O165" s="1"/>
      <c r="P165" s="5"/>
    </row>
    <row r="166" spans="1:16" ht="20" hidden="1" customHeight="1" x14ac:dyDescent="0.35">
      <c r="A166" s="171" t="s">
        <v>1123</v>
      </c>
      <c r="B166" s="422" t="s">
        <v>1289</v>
      </c>
      <c r="C166" s="422"/>
      <c r="D166" s="422"/>
      <c r="E166" s="422"/>
      <c r="F166" s="422"/>
      <c r="G166" s="422"/>
      <c r="H166" s="422"/>
      <c r="I166" s="422"/>
      <c r="J166" s="422"/>
      <c r="K166" s="422"/>
      <c r="L166" s="422"/>
      <c r="M166" s="422"/>
      <c r="N166" s="422"/>
      <c r="O166" s="1" t="s">
        <v>96</v>
      </c>
      <c r="P166" s="53" t="s">
        <v>272</v>
      </c>
    </row>
    <row r="167" spans="1:16" ht="20" hidden="1" customHeight="1" x14ac:dyDescent="0.35">
      <c r="A167" s="91" t="s">
        <v>1130</v>
      </c>
      <c r="B167" s="426" t="s">
        <v>1484</v>
      </c>
      <c r="C167" s="422"/>
      <c r="D167" s="422"/>
      <c r="E167" s="422"/>
      <c r="F167" s="422"/>
      <c r="G167" s="422"/>
      <c r="H167" s="422"/>
      <c r="I167" s="422"/>
      <c r="J167" s="422"/>
      <c r="K167" s="422"/>
      <c r="L167" s="422"/>
      <c r="M167" s="422"/>
      <c r="N167" s="422"/>
      <c r="O167" s="1"/>
      <c r="P167" s="5"/>
    </row>
    <row r="168" spans="1:16" ht="20" hidden="1" customHeight="1" x14ac:dyDescent="0.35">
      <c r="A168" s="91" t="s">
        <v>1161</v>
      </c>
      <c r="B168" s="429" t="s">
        <v>1314</v>
      </c>
      <c r="C168" s="429"/>
      <c r="D168" s="429"/>
      <c r="E168" s="429"/>
      <c r="F168" s="429"/>
      <c r="G168" s="429"/>
      <c r="H168" s="429"/>
      <c r="I168" s="429"/>
      <c r="J168" s="429"/>
      <c r="K168" s="429"/>
      <c r="L168" s="429"/>
      <c r="M168" s="429"/>
      <c r="N168" s="429"/>
      <c r="O168" s="1" t="s">
        <v>1773</v>
      </c>
      <c r="P168" s="5"/>
    </row>
    <row r="169" spans="1:16" ht="20" hidden="1" customHeight="1" x14ac:dyDescent="0.35">
      <c r="A169" s="91" t="s">
        <v>1166</v>
      </c>
      <c r="B169" s="425" t="s">
        <v>1258</v>
      </c>
      <c r="C169" s="425"/>
      <c r="D169" s="425"/>
      <c r="E169" s="425"/>
      <c r="F169" s="425"/>
      <c r="G169" s="425"/>
      <c r="H169" s="425"/>
      <c r="I169" s="425"/>
      <c r="J169" s="425"/>
      <c r="K169" s="425"/>
      <c r="L169" s="425"/>
      <c r="M169" s="425"/>
      <c r="N169" s="425"/>
      <c r="O169" s="1" t="s">
        <v>1773</v>
      </c>
      <c r="P169" s="5"/>
    </row>
    <row r="170" spans="1:16" ht="20" hidden="1" customHeight="1" x14ac:dyDescent="0.35">
      <c r="A170" s="91" t="s">
        <v>1167</v>
      </c>
      <c r="B170" s="425" t="s">
        <v>1329</v>
      </c>
      <c r="C170" s="425"/>
      <c r="D170" s="425"/>
      <c r="E170" s="425"/>
      <c r="F170" s="425"/>
      <c r="G170" s="425"/>
      <c r="H170" s="425"/>
      <c r="I170" s="425"/>
      <c r="J170" s="425"/>
      <c r="K170" s="425"/>
      <c r="L170" s="425"/>
      <c r="M170" s="425"/>
      <c r="N170" s="425"/>
      <c r="O170" s="1" t="s">
        <v>1773</v>
      </c>
      <c r="P170" s="5"/>
    </row>
    <row r="171" spans="1:16" ht="20" hidden="1" customHeight="1" x14ac:dyDescent="0.35">
      <c r="A171" s="91" t="s">
        <v>1168</v>
      </c>
      <c r="B171" s="425" t="s">
        <v>1668</v>
      </c>
      <c r="C171" s="425"/>
      <c r="D171" s="425"/>
      <c r="E171" s="425"/>
      <c r="F171" s="425"/>
      <c r="G171" s="425"/>
      <c r="H171" s="425"/>
      <c r="I171" s="425"/>
      <c r="J171" s="425"/>
      <c r="K171" s="425"/>
      <c r="L171" s="425"/>
      <c r="M171" s="425"/>
      <c r="N171" s="425"/>
      <c r="O171" s="1" t="s">
        <v>1773</v>
      </c>
      <c r="P171" s="5"/>
    </row>
    <row r="172" spans="1:16" ht="20" hidden="1" customHeight="1" x14ac:dyDescent="0.35">
      <c r="A172" s="91" t="s">
        <v>1169</v>
      </c>
      <c r="B172" s="425" t="s">
        <v>2181</v>
      </c>
      <c r="C172" s="425"/>
      <c r="D172" s="425"/>
      <c r="E172" s="425"/>
      <c r="F172" s="425"/>
      <c r="G172" s="425"/>
      <c r="H172" s="425"/>
      <c r="I172" s="425"/>
      <c r="J172" s="425"/>
      <c r="K172" s="425"/>
      <c r="L172" s="425"/>
      <c r="M172" s="425"/>
      <c r="N172" s="425"/>
      <c r="O172" s="1" t="s">
        <v>1773</v>
      </c>
      <c r="P172" s="5"/>
    </row>
    <row r="173" spans="1:16" ht="20" hidden="1" customHeight="1" x14ac:dyDescent="0.35">
      <c r="A173" s="91" t="s">
        <v>1170</v>
      </c>
      <c r="B173" s="425" t="s">
        <v>1704</v>
      </c>
      <c r="C173" s="425"/>
      <c r="D173" s="425"/>
      <c r="E173" s="425"/>
      <c r="F173" s="425"/>
      <c r="G173" s="425"/>
      <c r="H173" s="425"/>
      <c r="I173" s="425"/>
      <c r="J173" s="425"/>
      <c r="K173" s="425"/>
      <c r="L173" s="425"/>
      <c r="M173" s="425"/>
      <c r="N173" s="425"/>
      <c r="O173" s="1" t="s">
        <v>1773</v>
      </c>
      <c r="P173" s="5"/>
    </row>
    <row r="174" spans="1:16" ht="20" hidden="1" customHeight="1" x14ac:dyDescent="0.35">
      <c r="A174" s="91" t="s">
        <v>1171</v>
      </c>
      <c r="B174" s="425" t="s">
        <v>1702</v>
      </c>
      <c r="C174" s="425"/>
      <c r="D174" s="425"/>
      <c r="E174" s="425"/>
      <c r="F174" s="425"/>
      <c r="G174" s="425"/>
      <c r="H174" s="425"/>
      <c r="I174" s="425"/>
      <c r="J174" s="425"/>
      <c r="K174" s="425"/>
      <c r="L174" s="425"/>
      <c r="M174" s="425"/>
      <c r="N174" s="425"/>
      <c r="O174" s="1" t="s">
        <v>1773</v>
      </c>
      <c r="P174" s="5"/>
    </row>
    <row r="175" spans="1:16" ht="20" hidden="1" customHeight="1" x14ac:dyDescent="0.35">
      <c r="A175" s="91" t="s">
        <v>1172</v>
      </c>
      <c r="B175" s="425" t="s">
        <v>2233</v>
      </c>
      <c r="C175" s="425"/>
      <c r="D175" s="425"/>
      <c r="E175" s="425"/>
      <c r="F175" s="425"/>
      <c r="G175" s="425"/>
      <c r="H175" s="425"/>
      <c r="I175" s="425"/>
      <c r="J175" s="425"/>
      <c r="K175" s="425"/>
      <c r="L175" s="425"/>
      <c r="M175" s="425"/>
      <c r="N175" s="425"/>
      <c r="O175" s="1" t="s">
        <v>1773</v>
      </c>
      <c r="P175" s="5"/>
    </row>
    <row r="176" spans="1:16" ht="20" hidden="1" customHeight="1" x14ac:dyDescent="0.35">
      <c r="A176" s="91" t="s">
        <v>1173</v>
      </c>
      <c r="B176" s="425" t="s">
        <v>2169</v>
      </c>
      <c r="C176" s="425"/>
      <c r="D176" s="425"/>
      <c r="E176" s="425"/>
      <c r="F176" s="425"/>
      <c r="G176" s="425"/>
      <c r="H176" s="425"/>
      <c r="I176" s="425"/>
      <c r="J176" s="425"/>
      <c r="K176" s="425"/>
      <c r="L176" s="425"/>
      <c r="M176" s="425"/>
      <c r="N176" s="425"/>
      <c r="O176" s="13" t="s">
        <v>95</v>
      </c>
      <c r="P176" s="5"/>
    </row>
    <row r="177" spans="1:16" ht="20" hidden="1" customHeight="1" x14ac:dyDescent="0.35">
      <c r="A177" s="91" t="s">
        <v>1174</v>
      </c>
      <c r="B177" s="425" t="s">
        <v>1217</v>
      </c>
      <c r="C177" s="425"/>
      <c r="D177" s="425"/>
      <c r="E177" s="425"/>
      <c r="F177" s="425"/>
      <c r="G177" s="425"/>
      <c r="H177" s="425"/>
      <c r="I177" s="425"/>
      <c r="J177" s="425"/>
      <c r="K177" s="425"/>
      <c r="L177" s="425"/>
      <c r="M177" s="425"/>
      <c r="N177" s="425"/>
      <c r="O177" s="1" t="s">
        <v>1773</v>
      </c>
      <c r="P177" s="5"/>
    </row>
    <row r="178" spans="1:16" ht="20" hidden="1" customHeight="1" x14ac:dyDescent="0.35">
      <c r="A178" s="91" t="s">
        <v>1175</v>
      </c>
      <c r="B178" s="425" t="s">
        <v>1944</v>
      </c>
      <c r="C178" s="425"/>
      <c r="D178" s="425"/>
      <c r="E178" s="425"/>
      <c r="F178" s="425"/>
      <c r="G178" s="425"/>
      <c r="H178" s="425"/>
      <c r="I178" s="425"/>
      <c r="J178" s="425"/>
      <c r="K178" s="425"/>
      <c r="L178" s="425"/>
      <c r="M178" s="425"/>
      <c r="N178" s="425"/>
      <c r="O178" s="1"/>
      <c r="P178" s="5"/>
    </row>
    <row r="179" spans="1:16" ht="20" hidden="1" customHeight="1" x14ac:dyDescent="0.35">
      <c r="A179" s="1" t="s">
        <v>1176</v>
      </c>
      <c r="B179" s="425" t="s">
        <v>1177</v>
      </c>
      <c r="C179" s="425"/>
      <c r="D179" s="425"/>
      <c r="E179" s="425"/>
      <c r="F179" s="425"/>
      <c r="G179" s="425"/>
      <c r="H179" s="425"/>
      <c r="I179" s="425"/>
      <c r="J179" s="425"/>
      <c r="K179" s="425"/>
      <c r="L179" s="425"/>
      <c r="M179" s="425"/>
      <c r="N179" s="425"/>
      <c r="O179" s="1"/>
      <c r="P179" s="5"/>
    </row>
    <row r="180" spans="1:16" ht="20" hidden="1" customHeight="1" x14ac:dyDescent="0.35">
      <c r="A180" s="91" t="s">
        <v>1178</v>
      </c>
      <c r="B180" s="425" t="s">
        <v>1287</v>
      </c>
      <c r="C180" s="425"/>
      <c r="D180" s="425"/>
      <c r="E180" s="425"/>
      <c r="F180" s="425"/>
      <c r="G180" s="425"/>
      <c r="H180" s="425"/>
      <c r="I180" s="425"/>
      <c r="J180" s="425"/>
      <c r="K180" s="425"/>
      <c r="L180" s="425"/>
      <c r="M180" s="425"/>
      <c r="N180" s="425"/>
      <c r="O180" s="1" t="s">
        <v>1773</v>
      </c>
      <c r="P180" s="5"/>
    </row>
    <row r="181" spans="1:16" ht="20" hidden="1" customHeight="1" x14ac:dyDescent="0.35">
      <c r="A181" s="91" t="s">
        <v>1183</v>
      </c>
      <c r="B181" s="425" t="s">
        <v>1184</v>
      </c>
      <c r="C181" s="425"/>
      <c r="D181" s="425"/>
      <c r="E181" s="425"/>
      <c r="F181" s="425"/>
      <c r="G181" s="425"/>
      <c r="H181" s="425"/>
      <c r="I181" s="425"/>
      <c r="J181" s="425"/>
      <c r="K181" s="425"/>
      <c r="L181" s="425"/>
      <c r="M181" s="425"/>
      <c r="N181" s="425"/>
      <c r="O181" s="1"/>
      <c r="P181" s="5"/>
    </row>
    <row r="182" spans="1:16" ht="20" hidden="1" customHeight="1" x14ac:dyDescent="0.35">
      <c r="A182" s="172" t="s">
        <v>1196</v>
      </c>
      <c r="B182" s="425" t="s">
        <v>1197</v>
      </c>
      <c r="C182" s="425"/>
      <c r="D182" s="425"/>
      <c r="E182" s="425"/>
      <c r="F182" s="425"/>
      <c r="G182" s="425"/>
      <c r="H182" s="425"/>
      <c r="I182" s="425"/>
      <c r="J182" s="425"/>
      <c r="K182" s="425"/>
      <c r="L182" s="425"/>
      <c r="M182" s="425"/>
      <c r="N182" s="425"/>
    </row>
    <row r="183" spans="1:16" ht="20" hidden="1" customHeight="1" x14ac:dyDescent="0.35">
      <c r="A183" s="175" t="s">
        <v>1209</v>
      </c>
      <c r="B183" s="422" t="s">
        <v>1363</v>
      </c>
      <c r="C183" s="422"/>
      <c r="D183" s="422"/>
      <c r="E183" s="422"/>
      <c r="F183" s="422"/>
      <c r="G183" s="422"/>
      <c r="H183" s="422"/>
      <c r="I183" s="422"/>
      <c r="J183" s="422"/>
      <c r="K183" s="422"/>
      <c r="L183" s="422"/>
      <c r="M183" s="422"/>
      <c r="N183" s="422"/>
    </row>
    <row r="184" spans="1:16" ht="20" hidden="1" customHeight="1" x14ac:dyDescent="0.35">
      <c r="A184" s="175" t="s">
        <v>1219</v>
      </c>
      <c r="B184" s="422" t="s">
        <v>2186</v>
      </c>
      <c r="C184" s="422"/>
      <c r="D184" s="422"/>
      <c r="E184" s="422"/>
      <c r="F184" s="422"/>
      <c r="G184" s="422"/>
      <c r="H184" s="422"/>
      <c r="I184" s="422"/>
      <c r="J184" s="422"/>
      <c r="K184" s="422"/>
      <c r="L184" s="422"/>
      <c r="M184" s="422"/>
      <c r="N184" s="422"/>
    </row>
    <row r="185" spans="1:16" ht="20" hidden="1" customHeight="1" x14ac:dyDescent="0.35">
      <c r="A185" s="79" t="s">
        <v>1247</v>
      </c>
      <c r="B185" s="422" t="s">
        <v>1248</v>
      </c>
      <c r="C185" s="422"/>
      <c r="D185" s="422"/>
      <c r="E185" s="422"/>
      <c r="F185" s="422"/>
      <c r="G185" s="422"/>
      <c r="H185" s="422"/>
      <c r="I185" s="422"/>
      <c r="J185" s="422"/>
      <c r="K185" s="422"/>
      <c r="L185" s="422"/>
      <c r="M185" s="422"/>
      <c r="N185" s="422"/>
    </row>
    <row r="186" spans="1:16" ht="20" hidden="1" customHeight="1" x14ac:dyDescent="0.35">
      <c r="A186" t="s">
        <v>1255</v>
      </c>
      <c r="B186" s="422" t="s">
        <v>1256</v>
      </c>
      <c r="C186" s="422"/>
      <c r="D186" s="422"/>
      <c r="E186" s="422"/>
      <c r="F186" s="422"/>
      <c r="G186" s="422"/>
      <c r="H186" s="422"/>
      <c r="I186" s="422"/>
      <c r="J186" s="422"/>
      <c r="K186" s="422"/>
      <c r="L186" s="422"/>
      <c r="M186" s="422"/>
      <c r="N186" s="422"/>
    </row>
    <row r="187" spans="1:16" ht="20" hidden="1" customHeight="1" x14ac:dyDescent="0.35">
      <c r="A187" s="79" t="s">
        <v>1257</v>
      </c>
      <c r="B187" s="425" t="s">
        <v>2197</v>
      </c>
      <c r="C187" s="425"/>
      <c r="D187" s="425"/>
      <c r="E187" s="425"/>
      <c r="F187" s="425"/>
      <c r="G187" s="425"/>
      <c r="H187" s="425"/>
      <c r="I187" s="425"/>
      <c r="J187" s="425"/>
      <c r="K187" s="425"/>
      <c r="L187" s="425"/>
      <c r="M187" s="425"/>
      <c r="N187" s="425"/>
      <c r="O187" s="1" t="s">
        <v>1773</v>
      </c>
    </row>
    <row r="188" spans="1:16" ht="20" hidden="1" customHeight="1" x14ac:dyDescent="0.35">
      <c r="A188" s="171" t="s">
        <v>1278</v>
      </c>
      <c r="B188" s="422" t="s">
        <v>2253</v>
      </c>
      <c r="C188" s="422"/>
      <c r="D188" s="422"/>
      <c r="E188" s="422"/>
      <c r="F188" s="422"/>
      <c r="G188" s="422"/>
      <c r="H188" s="422"/>
      <c r="I188" s="422"/>
      <c r="J188" s="422"/>
      <c r="K188" s="422"/>
      <c r="L188" s="422"/>
      <c r="M188" s="422"/>
      <c r="N188" s="422"/>
      <c r="O188" s="1" t="s">
        <v>96</v>
      </c>
      <c r="P188" s="53" t="s">
        <v>272</v>
      </c>
    </row>
    <row r="189" spans="1:16" ht="20" hidden="1" customHeight="1" x14ac:dyDescent="0.35">
      <c r="A189" s="171" t="s">
        <v>1305</v>
      </c>
      <c r="B189" s="426" t="s">
        <v>2254</v>
      </c>
      <c r="C189" s="422"/>
      <c r="D189" s="422"/>
      <c r="E189" s="422"/>
      <c r="F189" s="422"/>
      <c r="G189" s="422"/>
      <c r="H189" s="422"/>
      <c r="I189" s="422"/>
      <c r="J189" s="422"/>
      <c r="K189" s="422"/>
      <c r="L189" s="422"/>
      <c r="M189" s="422"/>
      <c r="N189" s="422"/>
      <c r="O189" s="1" t="s">
        <v>1308</v>
      </c>
      <c r="P189" s="53"/>
    </row>
    <row r="190" spans="1:16" ht="20" hidden="1" customHeight="1" x14ac:dyDescent="0.35">
      <c r="A190" s="171" t="s">
        <v>1313</v>
      </c>
      <c r="B190" s="455" t="s">
        <v>1351</v>
      </c>
      <c r="C190" s="456"/>
      <c r="D190" s="456"/>
      <c r="E190" s="456"/>
      <c r="F190" s="456"/>
      <c r="G190" s="456"/>
      <c r="H190" s="456"/>
      <c r="I190" s="456"/>
      <c r="J190" s="456"/>
      <c r="K190" s="456"/>
      <c r="L190" s="456"/>
      <c r="M190" s="456"/>
      <c r="N190" s="456"/>
      <c r="O190" s="1" t="s">
        <v>1308</v>
      </c>
      <c r="P190" s="53"/>
    </row>
    <row r="191" spans="1:16" ht="20" hidden="1" customHeight="1" x14ac:dyDescent="0.35">
      <c r="A191" s="171" t="s">
        <v>1316</v>
      </c>
      <c r="B191" s="426" t="s">
        <v>2230</v>
      </c>
      <c r="C191" s="422"/>
      <c r="D191" s="422"/>
      <c r="E191" s="422"/>
      <c r="F191" s="422"/>
      <c r="G191" s="422"/>
      <c r="H191" s="422"/>
      <c r="I191" s="422"/>
      <c r="J191" s="422"/>
      <c r="K191" s="422"/>
      <c r="L191" s="422"/>
      <c r="M191" s="422"/>
      <c r="N191" s="422"/>
      <c r="O191" s="1" t="s">
        <v>1308</v>
      </c>
      <c r="P191" s="53"/>
    </row>
    <row r="192" spans="1:16" ht="20" hidden="1" customHeight="1" x14ac:dyDescent="0.35">
      <c r="A192" s="171" t="s">
        <v>1317</v>
      </c>
      <c r="B192" s="426" t="s">
        <v>1763</v>
      </c>
      <c r="C192" s="422"/>
      <c r="D192" s="422"/>
      <c r="E192" s="422"/>
      <c r="F192" s="422"/>
      <c r="G192" s="422"/>
      <c r="H192" s="422"/>
      <c r="I192" s="422"/>
      <c r="J192" s="422"/>
      <c r="K192" s="422"/>
      <c r="L192" s="422"/>
      <c r="M192" s="422"/>
      <c r="N192" s="422"/>
      <c r="O192" s="1" t="s">
        <v>1308</v>
      </c>
      <c r="P192" s="53"/>
    </row>
    <row r="193" spans="1:16" ht="20" hidden="1" customHeight="1" x14ac:dyDescent="0.35">
      <c r="A193" s="171" t="s">
        <v>1318</v>
      </c>
      <c r="B193" s="426" t="s">
        <v>2232</v>
      </c>
      <c r="C193" s="422"/>
      <c r="D193" s="422"/>
      <c r="E193" s="422"/>
      <c r="F193" s="422"/>
      <c r="G193" s="422"/>
      <c r="H193" s="422"/>
      <c r="I193" s="422"/>
      <c r="J193" s="422"/>
      <c r="K193" s="422"/>
      <c r="L193" s="422"/>
      <c r="M193" s="422"/>
      <c r="N193" s="422"/>
      <c r="O193" s="1" t="s">
        <v>1308</v>
      </c>
      <c r="P193" s="53"/>
    </row>
    <row r="194" spans="1:16" ht="20" hidden="1" customHeight="1" x14ac:dyDescent="0.35">
      <c r="A194" s="171" t="s">
        <v>1319</v>
      </c>
      <c r="B194" s="455" t="s">
        <v>1353</v>
      </c>
      <c r="C194" s="456"/>
      <c r="D194" s="456"/>
      <c r="E194" s="456"/>
      <c r="F194" s="456"/>
      <c r="G194" s="456"/>
      <c r="H194" s="456"/>
      <c r="I194" s="456"/>
      <c r="J194" s="456"/>
      <c r="K194" s="456"/>
      <c r="L194" s="456"/>
      <c r="M194" s="456"/>
      <c r="N194" s="456"/>
      <c r="O194" s="1" t="s">
        <v>1308</v>
      </c>
      <c r="P194" s="53"/>
    </row>
    <row r="195" spans="1:16" ht="20" hidden="1" customHeight="1" x14ac:dyDescent="0.35">
      <c r="A195" s="171" t="s">
        <v>1322</v>
      </c>
      <c r="B195" s="426" t="s">
        <v>2120</v>
      </c>
      <c r="C195" s="422"/>
      <c r="D195" s="422"/>
      <c r="E195" s="422"/>
      <c r="F195" s="422"/>
      <c r="G195" s="422"/>
      <c r="H195" s="422"/>
      <c r="I195" s="422"/>
      <c r="J195" s="422"/>
      <c r="K195" s="422"/>
      <c r="L195" s="422"/>
      <c r="M195" s="422"/>
      <c r="N195" s="422"/>
      <c r="O195" s="1"/>
      <c r="P195" s="53"/>
    </row>
    <row r="196" spans="1:16" ht="20" hidden="1" customHeight="1" x14ac:dyDescent="0.35">
      <c r="A196" s="171" t="s">
        <v>1338</v>
      </c>
      <c r="B196" s="426" t="s">
        <v>1769</v>
      </c>
      <c r="C196" s="422"/>
      <c r="D196" s="422"/>
      <c r="E196" s="422"/>
      <c r="F196" s="422"/>
      <c r="G196" s="422"/>
      <c r="H196" s="422"/>
      <c r="I196" s="422"/>
      <c r="J196" s="422"/>
      <c r="K196" s="422"/>
      <c r="L196" s="422"/>
      <c r="M196" s="422"/>
      <c r="N196" s="422"/>
      <c r="O196" s="1" t="s">
        <v>1308</v>
      </c>
      <c r="P196" s="53"/>
    </row>
    <row r="197" spans="1:16" ht="20" hidden="1" customHeight="1" x14ac:dyDescent="0.35">
      <c r="A197" s="171" t="s">
        <v>1339</v>
      </c>
      <c r="B197" s="426" t="s">
        <v>1767</v>
      </c>
      <c r="C197" s="422"/>
      <c r="D197" s="422"/>
      <c r="E197" s="422"/>
      <c r="F197" s="422"/>
      <c r="G197" s="422"/>
      <c r="H197" s="422"/>
      <c r="I197" s="422"/>
      <c r="J197" s="422"/>
      <c r="K197" s="422"/>
      <c r="L197" s="422"/>
      <c r="M197" s="422"/>
      <c r="N197" s="422"/>
      <c r="O197" s="1" t="s">
        <v>1308</v>
      </c>
      <c r="P197" s="53"/>
    </row>
    <row r="198" spans="1:16" ht="20" hidden="1" customHeight="1" x14ac:dyDescent="0.35">
      <c r="A198" s="171" t="s">
        <v>1340</v>
      </c>
      <c r="B198" s="426" t="s">
        <v>1764</v>
      </c>
      <c r="C198" s="422"/>
      <c r="D198" s="422"/>
      <c r="E198" s="422"/>
      <c r="F198" s="422"/>
      <c r="G198" s="422"/>
      <c r="H198" s="422"/>
      <c r="I198" s="422"/>
      <c r="J198" s="422"/>
      <c r="K198" s="422"/>
      <c r="L198" s="422"/>
      <c r="M198" s="422"/>
      <c r="N198" s="422"/>
      <c r="O198" s="1" t="s">
        <v>1308</v>
      </c>
      <c r="P198" s="53"/>
    </row>
    <row r="199" spans="1:16" ht="20" hidden="1" customHeight="1" x14ac:dyDescent="0.35">
      <c r="A199" s="171" t="s">
        <v>1341</v>
      </c>
      <c r="B199" s="455" t="s">
        <v>1354</v>
      </c>
      <c r="C199" s="456"/>
      <c r="D199" s="456"/>
      <c r="E199" s="456"/>
      <c r="F199" s="456"/>
      <c r="G199" s="456"/>
      <c r="H199" s="456"/>
      <c r="I199" s="456"/>
      <c r="J199" s="456"/>
      <c r="K199" s="456"/>
      <c r="L199" s="456"/>
      <c r="M199" s="456"/>
      <c r="N199" s="456"/>
      <c r="O199" s="1" t="s">
        <v>1308</v>
      </c>
      <c r="P199" s="53"/>
    </row>
    <row r="200" spans="1:16" ht="20" hidden="1" customHeight="1" x14ac:dyDescent="0.35">
      <c r="A200" s="171" t="s">
        <v>1343</v>
      </c>
      <c r="B200" s="422" t="s">
        <v>2250</v>
      </c>
      <c r="C200" s="422"/>
      <c r="D200" s="422"/>
      <c r="E200" s="422"/>
      <c r="F200" s="422"/>
      <c r="G200" s="422"/>
      <c r="H200" s="422"/>
      <c r="I200" s="422"/>
      <c r="J200" s="422"/>
      <c r="K200" s="422"/>
      <c r="L200" s="422"/>
      <c r="M200" s="422"/>
      <c r="N200" s="422"/>
      <c r="O200" s="1" t="s">
        <v>1308</v>
      </c>
      <c r="P200" s="53"/>
    </row>
    <row r="201" spans="1:16" ht="20" hidden="1" customHeight="1" x14ac:dyDescent="0.35">
      <c r="A201" s="171" t="s">
        <v>1344</v>
      </c>
      <c r="B201" s="456" t="s">
        <v>1352</v>
      </c>
      <c r="C201" s="456"/>
      <c r="D201" s="456"/>
      <c r="E201" s="456"/>
      <c r="F201" s="456"/>
      <c r="G201" s="456"/>
      <c r="H201" s="456"/>
      <c r="I201" s="456"/>
      <c r="J201" s="456"/>
      <c r="K201" s="456"/>
      <c r="L201" s="456"/>
      <c r="M201" s="456"/>
      <c r="N201" s="456"/>
      <c r="O201" s="1" t="s">
        <v>1308</v>
      </c>
      <c r="P201" s="53"/>
    </row>
    <row r="202" spans="1:16" ht="20" hidden="1" customHeight="1" x14ac:dyDescent="0.35">
      <c r="A202" s="171" t="s">
        <v>1346</v>
      </c>
      <c r="B202" s="422" t="s">
        <v>1768</v>
      </c>
      <c r="C202" s="422"/>
      <c r="D202" s="422"/>
      <c r="E202" s="422"/>
      <c r="F202" s="422"/>
      <c r="G202" s="422"/>
      <c r="H202" s="422"/>
      <c r="I202" s="422"/>
      <c r="J202" s="422"/>
      <c r="K202" s="422"/>
      <c r="L202" s="422"/>
      <c r="M202" s="422"/>
      <c r="N202" s="422"/>
      <c r="O202" s="1" t="s">
        <v>1308</v>
      </c>
      <c r="P202" s="53"/>
    </row>
    <row r="203" spans="1:16" ht="20" hidden="1" customHeight="1" x14ac:dyDescent="0.35">
      <c r="A203" s="171" t="s">
        <v>1347</v>
      </c>
      <c r="B203" s="456" t="s">
        <v>1772</v>
      </c>
      <c r="C203" s="456"/>
      <c r="D203" s="456"/>
      <c r="E203" s="456"/>
      <c r="F203" s="456"/>
      <c r="G203" s="456"/>
      <c r="H203" s="456"/>
      <c r="I203" s="456"/>
      <c r="J203" s="456"/>
      <c r="K203" s="456"/>
      <c r="L203" s="456"/>
      <c r="M203" s="456"/>
      <c r="N203" s="456"/>
      <c r="O203" s="1" t="s">
        <v>1308</v>
      </c>
      <c r="P203" s="53"/>
    </row>
    <row r="204" spans="1:16" ht="20" hidden="1" customHeight="1" x14ac:dyDescent="0.35">
      <c r="A204" s="171" t="s">
        <v>1350</v>
      </c>
      <c r="B204" s="422" t="s">
        <v>2242</v>
      </c>
      <c r="C204" s="422"/>
      <c r="D204" s="422"/>
      <c r="E204" s="422"/>
      <c r="F204" s="422"/>
      <c r="G204" s="422"/>
      <c r="H204" s="422"/>
      <c r="I204" s="422"/>
      <c r="J204" s="422"/>
      <c r="K204" s="422"/>
      <c r="L204" s="422"/>
      <c r="M204" s="422"/>
      <c r="N204" s="422"/>
      <c r="O204" s="1" t="s">
        <v>1308</v>
      </c>
      <c r="P204" s="53"/>
    </row>
    <row r="205" spans="1:16" ht="20" hidden="1" customHeight="1" x14ac:dyDescent="0.35">
      <c r="A205" s="171" t="s">
        <v>1355</v>
      </c>
      <c r="B205" s="456" t="s">
        <v>1678</v>
      </c>
      <c r="C205" s="456"/>
      <c r="D205" s="456"/>
      <c r="E205" s="456"/>
      <c r="F205" s="456"/>
      <c r="G205" s="456"/>
      <c r="H205" s="456"/>
      <c r="I205" s="456"/>
      <c r="J205" s="456"/>
      <c r="K205" s="456"/>
      <c r="L205" s="456"/>
      <c r="M205" s="456"/>
      <c r="N205" s="456"/>
      <c r="O205" s="1" t="s">
        <v>1308</v>
      </c>
      <c r="P205" s="53"/>
    </row>
    <row r="206" spans="1:16" ht="20" hidden="1" customHeight="1" x14ac:dyDescent="0.35">
      <c r="A206" s="171" t="s">
        <v>1357</v>
      </c>
      <c r="B206" s="422" t="s">
        <v>1771</v>
      </c>
      <c r="C206" s="422"/>
      <c r="D206" s="422"/>
      <c r="E206" s="422"/>
      <c r="F206" s="422"/>
      <c r="G206" s="422"/>
      <c r="H206" s="422"/>
      <c r="I206" s="422"/>
      <c r="J206" s="422"/>
      <c r="K206" s="422"/>
      <c r="L206" s="422"/>
      <c r="M206" s="422"/>
      <c r="N206" s="422"/>
      <c r="O206" s="1" t="s">
        <v>1308</v>
      </c>
      <c r="P206" s="53"/>
    </row>
    <row r="207" spans="1:16" ht="20" hidden="1" customHeight="1" x14ac:dyDescent="0.35">
      <c r="A207" s="171" t="s">
        <v>1358</v>
      </c>
      <c r="B207" s="422" t="s">
        <v>1765</v>
      </c>
      <c r="C207" s="422"/>
      <c r="D207" s="422"/>
      <c r="E207" s="422"/>
      <c r="F207" s="422"/>
      <c r="G207" s="422"/>
      <c r="H207" s="422"/>
      <c r="I207" s="422"/>
      <c r="J207" s="422"/>
      <c r="K207" s="422"/>
      <c r="L207" s="422"/>
      <c r="M207" s="422"/>
      <c r="N207" s="422"/>
      <c r="O207" s="1" t="s">
        <v>1308</v>
      </c>
      <c r="P207" s="53"/>
    </row>
    <row r="208" spans="1:16" ht="20" hidden="1" customHeight="1" x14ac:dyDescent="0.35">
      <c r="A208" s="171" t="s">
        <v>1379</v>
      </c>
      <c r="B208" s="422" t="s">
        <v>1380</v>
      </c>
      <c r="C208" s="422"/>
      <c r="D208" s="422"/>
      <c r="E208" s="422"/>
      <c r="F208" s="422"/>
      <c r="G208" s="422"/>
      <c r="H208" s="422"/>
      <c r="I208" s="422"/>
      <c r="J208" s="422"/>
      <c r="K208" s="422"/>
      <c r="L208" s="422"/>
      <c r="M208" s="422"/>
      <c r="N208" s="422"/>
    </row>
    <row r="209" spans="1:16" ht="20" hidden="1" customHeight="1" x14ac:dyDescent="0.35">
      <c r="A209" s="222" t="s">
        <v>1385</v>
      </c>
      <c r="B209" s="422" t="s">
        <v>1386</v>
      </c>
      <c r="C209" s="422"/>
      <c r="D209" s="422"/>
      <c r="E209" s="422"/>
      <c r="F209" s="422"/>
      <c r="G209" s="422"/>
      <c r="H209" s="422"/>
      <c r="I209" s="422"/>
      <c r="J209" s="422"/>
      <c r="K209" s="422"/>
      <c r="L209" s="422"/>
      <c r="M209" s="422"/>
      <c r="N209" s="422"/>
    </row>
    <row r="210" spans="1:16" ht="20" hidden="1" customHeight="1" x14ac:dyDescent="0.35">
      <c r="A210" s="171" t="s">
        <v>1399</v>
      </c>
      <c r="B210" s="422" t="s">
        <v>1770</v>
      </c>
      <c r="C210" s="422"/>
      <c r="D210" s="422"/>
      <c r="E210" s="422"/>
      <c r="F210" s="422"/>
      <c r="G210" s="422"/>
      <c r="H210" s="422"/>
      <c r="I210" s="422"/>
      <c r="J210" s="422"/>
      <c r="K210" s="422"/>
      <c r="L210" s="422"/>
      <c r="M210" s="422"/>
      <c r="N210" s="422"/>
      <c r="O210" s="1" t="s">
        <v>1308</v>
      </c>
      <c r="P210" s="53"/>
    </row>
    <row r="211" spans="1:16" ht="20" hidden="1" customHeight="1" x14ac:dyDescent="0.35">
      <c r="A211" s="171" t="s">
        <v>1400</v>
      </c>
      <c r="B211" s="422" t="s">
        <v>1401</v>
      </c>
      <c r="C211" s="422"/>
      <c r="D211" s="422"/>
      <c r="E211" s="422"/>
      <c r="F211" s="422"/>
      <c r="G211" s="422"/>
      <c r="H211" s="422"/>
      <c r="I211" s="422"/>
      <c r="J211" s="422"/>
      <c r="K211" s="422"/>
      <c r="L211" s="422"/>
      <c r="M211" s="422"/>
      <c r="N211" s="422"/>
    </row>
    <row r="212" spans="1:16" ht="20" hidden="1" customHeight="1" x14ac:dyDescent="0.35">
      <c r="A212" s="222" t="s">
        <v>1414</v>
      </c>
      <c r="B212" s="422" t="s">
        <v>1674</v>
      </c>
      <c r="C212" s="422"/>
      <c r="D212" s="422"/>
      <c r="E212" s="422"/>
      <c r="F212" s="422"/>
      <c r="G212" s="422"/>
      <c r="H212" s="422"/>
      <c r="I212" s="422"/>
      <c r="J212" s="422"/>
      <c r="K212" s="422"/>
      <c r="L212" s="422"/>
      <c r="M212" s="422"/>
      <c r="N212" s="422"/>
    </row>
    <row r="213" spans="1:16" ht="20" hidden="1" customHeight="1" x14ac:dyDescent="0.35">
      <c r="A213" s="222" t="s">
        <v>1434</v>
      </c>
      <c r="B213" s="457" t="s">
        <v>1435</v>
      </c>
      <c r="C213" s="457"/>
      <c r="D213" s="457"/>
      <c r="E213" s="457"/>
      <c r="F213" s="457"/>
      <c r="G213" s="457"/>
      <c r="H213" s="457"/>
      <c r="I213" s="457"/>
      <c r="J213" s="457"/>
      <c r="K213" s="457"/>
      <c r="L213" s="457"/>
      <c r="M213" s="457"/>
      <c r="N213" s="457"/>
    </row>
    <row r="214" spans="1:16" ht="20" hidden="1" customHeight="1" x14ac:dyDescent="0.35">
      <c r="A214" s="222" t="s">
        <v>1444</v>
      </c>
      <c r="B214" s="422" t="s">
        <v>1766</v>
      </c>
      <c r="C214" s="422"/>
      <c r="D214" s="422"/>
      <c r="E214" s="422"/>
      <c r="F214" s="422"/>
      <c r="G214" s="422"/>
      <c r="H214" s="422"/>
      <c r="I214" s="422"/>
      <c r="J214" s="422"/>
      <c r="K214" s="422"/>
      <c r="L214" s="422"/>
      <c r="M214" s="422"/>
      <c r="N214" s="422"/>
      <c r="O214" s="1" t="s">
        <v>1308</v>
      </c>
      <c r="P214" s="53"/>
    </row>
    <row r="215" spans="1:16" ht="20" hidden="1" customHeight="1" x14ac:dyDescent="0.35">
      <c r="A215" s="91" t="s">
        <v>1445</v>
      </c>
      <c r="B215" s="425" t="s">
        <v>1670</v>
      </c>
      <c r="C215" s="425"/>
      <c r="D215" s="425"/>
      <c r="E215" s="425"/>
      <c r="F215" s="425"/>
      <c r="G215" s="425"/>
      <c r="H215" s="425"/>
      <c r="I215" s="425"/>
      <c r="J215" s="425"/>
      <c r="K215" s="425"/>
      <c r="L215" s="425"/>
      <c r="M215" s="425"/>
      <c r="N215" s="425"/>
      <c r="O215" t="s">
        <v>1773</v>
      </c>
    </row>
    <row r="216" spans="1:16" ht="20" hidden="1" customHeight="1" x14ac:dyDescent="0.35">
      <c r="A216" s="91" t="s">
        <v>1446</v>
      </c>
      <c r="B216" s="425" t="s">
        <v>1705</v>
      </c>
      <c r="C216" s="425"/>
      <c r="D216" s="425"/>
      <c r="E216" s="425"/>
      <c r="F216" s="425"/>
      <c r="G216" s="425"/>
      <c r="H216" s="425"/>
      <c r="I216" s="425"/>
      <c r="J216" s="425"/>
      <c r="K216" s="425"/>
      <c r="L216" s="425"/>
      <c r="M216" s="425"/>
      <c r="N216" s="425"/>
      <c r="O216" t="s">
        <v>1773</v>
      </c>
    </row>
    <row r="217" spans="1:16" ht="20" hidden="1" customHeight="1" x14ac:dyDescent="0.35">
      <c r="A217" s="91" t="s">
        <v>1460</v>
      </c>
      <c r="B217" s="425" t="s">
        <v>1701</v>
      </c>
      <c r="C217" s="425"/>
      <c r="D217" s="425"/>
      <c r="E217" s="425"/>
      <c r="F217" s="425"/>
      <c r="G217" s="425"/>
      <c r="H217" s="425"/>
      <c r="I217" s="425"/>
      <c r="J217" s="425"/>
      <c r="K217" s="425"/>
      <c r="L217" s="425"/>
      <c r="M217" s="425"/>
      <c r="N217" s="425"/>
      <c r="O217" s="1" t="s">
        <v>1773</v>
      </c>
      <c r="P217" s="5"/>
    </row>
    <row r="218" spans="1:16" ht="20" hidden="1" customHeight="1" x14ac:dyDescent="0.35">
      <c r="A218" s="91" t="s">
        <v>1461</v>
      </c>
      <c r="B218" s="424" t="s">
        <v>1462</v>
      </c>
      <c r="C218" s="425"/>
      <c r="D218" s="425"/>
      <c r="E218" s="425"/>
      <c r="F218" s="425"/>
      <c r="G218" s="425"/>
      <c r="H218" s="425"/>
      <c r="I218" s="425"/>
      <c r="J218" s="425"/>
      <c r="K218" s="425"/>
      <c r="L218" s="425"/>
      <c r="M218" s="425"/>
      <c r="N218" s="425"/>
    </row>
    <row r="219" spans="1:16" ht="20" hidden="1" customHeight="1" x14ac:dyDescent="0.35">
      <c r="A219" s="171" t="s">
        <v>1530</v>
      </c>
      <c r="B219" s="424" t="s">
        <v>1531</v>
      </c>
      <c r="C219" s="425"/>
      <c r="D219" s="425"/>
      <c r="E219" s="425"/>
      <c r="F219" s="425"/>
      <c r="G219" s="425"/>
      <c r="H219" s="425"/>
      <c r="I219" s="425"/>
      <c r="J219" s="425"/>
      <c r="K219" s="425"/>
      <c r="L219" s="425"/>
      <c r="M219" s="425"/>
      <c r="N219" s="425"/>
    </row>
    <row r="220" spans="1:16" ht="20" hidden="1" customHeight="1" x14ac:dyDescent="0.35">
      <c r="A220" s="171" t="s">
        <v>1852</v>
      </c>
      <c r="B220" s="425" t="s">
        <v>1908</v>
      </c>
      <c r="C220" s="425"/>
      <c r="D220" s="425"/>
      <c r="E220" s="425"/>
      <c r="F220" s="425"/>
      <c r="G220" s="425"/>
      <c r="H220" s="425"/>
      <c r="I220" s="425"/>
      <c r="J220" s="425"/>
      <c r="K220" s="425"/>
      <c r="L220" s="425"/>
      <c r="M220" s="425"/>
      <c r="N220" s="425"/>
      <c r="O220" s="1" t="s">
        <v>96</v>
      </c>
    </row>
    <row r="221" spans="1:16" ht="20" hidden="1" customHeight="1" x14ac:dyDescent="0.35">
      <c r="A221" s="171" t="s">
        <v>1853</v>
      </c>
      <c r="B221" s="425" t="s">
        <v>1907</v>
      </c>
      <c r="C221" s="425"/>
      <c r="D221" s="425"/>
      <c r="E221" s="425"/>
      <c r="F221" s="425"/>
      <c r="G221" s="425"/>
      <c r="H221" s="425"/>
      <c r="I221" s="425"/>
      <c r="J221" s="425"/>
      <c r="K221" s="425"/>
      <c r="L221" s="425"/>
      <c r="M221" s="425"/>
      <c r="N221" s="425"/>
      <c r="O221" s="1" t="s">
        <v>96</v>
      </c>
    </row>
    <row r="222" spans="1:16" ht="20" hidden="1" customHeight="1" x14ac:dyDescent="0.35">
      <c r="A222" s="171" t="s">
        <v>1863</v>
      </c>
      <c r="B222" s="424" t="s">
        <v>1864</v>
      </c>
      <c r="C222" s="425"/>
      <c r="D222" s="425"/>
      <c r="E222" s="425"/>
      <c r="F222" s="425"/>
      <c r="G222" s="425"/>
      <c r="H222" s="425"/>
      <c r="I222" s="425"/>
      <c r="J222" s="425"/>
      <c r="K222" s="425"/>
      <c r="L222" s="425"/>
      <c r="M222" s="425"/>
      <c r="N222" s="425"/>
      <c r="O222" s="1"/>
    </row>
    <row r="223" spans="1:16" ht="20" hidden="1" customHeight="1" x14ac:dyDescent="0.35">
      <c r="A223" s="171" t="s">
        <v>1918</v>
      </c>
      <c r="B223" s="445" t="s">
        <v>1925</v>
      </c>
      <c r="C223" s="427"/>
      <c r="D223" s="427"/>
      <c r="E223" s="427"/>
      <c r="F223" s="427"/>
      <c r="G223" s="427"/>
      <c r="H223" s="427"/>
      <c r="I223" s="427"/>
      <c r="J223" s="427"/>
      <c r="K223" s="427"/>
      <c r="L223" s="427"/>
      <c r="M223" s="427"/>
      <c r="N223" s="428"/>
      <c r="O223" s="1" t="s">
        <v>1923</v>
      </c>
    </row>
    <row r="224" spans="1:16" ht="20" hidden="1" customHeight="1" x14ac:dyDescent="0.35">
      <c r="A224" s="171" t="s">
        <v>1919</v>
      </c>
      <c r="B224" s="445" t="s">
        <v>1924</v>
      </c>
      <c r="C224" s="427"/>
      <c r="D224" s="427"/>
      <c r="E224" s="427"/>
      <c r="F224" s="427"/>
      <c r="G224" s="427"/>
      <c r="H224" s="427"/>
      <c r="I224" s="427"/>
      <c r="J224" s="427"/>
      <c r="K224" s="427"/>
      <c r="L224" s="427"/>
      <c r="M224" s="427"/>
      <c r="N224" s="428"/>
      <c r="O224" s="1" t="s">
        <v>1923</v>
      </c>
    </row>
    <row r="225" spans="1:15" ht="20" hidden="1" customHeight="1" x14ac:dyDescent="0.35">
      <c r="A225" s="171" t="s">
        <v>1920</v>
      </c>
      <c r="B225" s="445" t="s">
        <v>1926</v>
      </c>
      <c r="C225" s="427"/>
      <c r="D225" s="427"/>
      <c r="E225" s="427"/>
      <c r="F225" s="427"/>
      <c r="G225" s="427"/>
      <c r="H225" s="427"/>
      <c r="I225" s="427"/>
      <c r="J225" s="427"/>
      <c r="K225" s="427"/>
      <c r="L225" s="427"/>
      <c r="M225" s="427"/>
      <c r="N225" s="428"/>
      <c r="O225" s="1" t="s">
        <v>1923</v>
      </c>
    </row>
    <row r="226" spans="1:15" ht="20" hidden="1" customHeight="1" x14ac:dyDescent="0.35">
      <c r="A226" s="171" t="s">
        <v>1921</v>
      </c>
      <c r="B226" s="445" t="s">
        <v>1935</v>
      </c>
      <c r="C226" s="427"/>
      <c r="D226" s="427"/>
      <c r="E226" s="427"/>
      <c r="F226" s="427"/>
      <c r="G226" s="427"/>
      <c r="H226" s="427"/>
      <c r="I226" s="427"/>
      <c r="J226" s="427"/>
      <c r="K226" s="427"/>
      <c r="L226" s="427"/>
      <c r="M226" s="427"/>
      <c r="N226" s="428"/>
      <c r="O226" s="1" t="s">
        <v>1923</v>
      </c>
    </row>
    <row r="227" spans="1:15" ht="20" hidden="1" customHeight="1" x14ac:dyDescent="0.35">
      <c r="A227" s="171" t="s">
        <v>1922</v>
      </c>
      <c r="B227" s="445" t="s">
        <v>1927</v>
      </c>
      <c r="C227" s="427"/>
      <c r="D227" s="427"/>
      <c r="E227" s="427"/>
      <c r="F227" s="427"/>
      <c r="G227" s="427"/>
      <c r="H227" s="427"/>
      <c r="I227" s="427"/>
      <c r="J227" s="427"/>
      <c r="K227" s="427"/>
      <c r="L227" s="427"/>
      <c r="M227" s="427"/>
      <c r="N227" s="428"/>
      <c r="O227" s="1" t="s">
        <v>1923</v>
      </c>
    </row>
    <row r="228" spans="1:15" ht="20" hidden="1" customHeight="1" x14ac:dyDescent="0.35">
      <c r="A228" s="171" t="s">
        <v>1948</v>
      </c>
      <c r="B228" s="445" t="s">
        <v>2012</v>
      </c>
      <c r="C228" s="427"/>
      <c r="D228" s="427"/>
      <c r="E228" s="427"/>
      <c r="F228" s="427"/>
      <c r="G228" s="427"/>
      <c r="H228" s="427"/>
      <c r="I228" s="427"/>
      <c r="J228" s="427"/>
      <c r="K228" s="427"/>
      <c r="L228" s="427"/>
      <c r="M228" s="427"/>
      <c r="N228" s="428"/>
      <c r="O228" s="1" t="s">
        <v>1954</v>
      </c>
    </row>
    <row r="229" spans="1:15" ht="20" hidden="1" customHeight="1" x14ac:dyDescent="0.35">
      <c r="A229" s="171" t="s">
        <v>1955</v>
      </c>
      <c r="B229" s="445" t="s">
        <v>1956</v>
      </c>
      <c r="C229" s="427"/>
      <c r="D229" s="427"/>
      <c r="E229" s="427"/>
      <c r="F229" s="427"/>
      <c r="G229" s="427"/>
      <c r="H229" s="427"/>
      <c r="I229" s="427"/>
      <c r="J229" s="427"/>
      <c r="K229" s="427"/>
      <c r="L229" s="427"/>
      <c r="M229" s="427"/>
      <c r="N229" s="428"/>
      <c r="O229" s="1" t="s">
        <v>96</v>
      </c>
    </row>
    <row r="230" spans="1:15" ht="20" hidden="1" customHeight="1" x14ac:dyDescent="0.35">
      <c r="A230" s="171" t="s">
        <v>1967</v>
      </c>
      <c r="B230" s="445" t="s">
        <v>1968</v>
      </c>
      <c r="C230" s="427"/>
      <c r="D230" s="427"/>
      <c r="E230" s="427"/>
      <c r="F230" s="427"/>
      <c r="G230" s="427"/>
      <c r="H230" s="427"/>
      <c r="I230" s="427"/>
      <c r="J230" s="427"/>
      <c r="K230" s="427"/>
      <c r="L230" s="427"/>
      <c r="M230" s="427"/>
      <c r="N230" s="428"/>
      <c r="O230" s="1" t="s">
        <v>96</v>
      </c>
    </row>
    <row r="231" spans="1:15" ht="20" hidden="1" customHeight="1" x14ac:dyDescent="0.35">
      <c r="A231" s="171" t="s">
        <v>1976</v>
      </c>
      <c r="B231" s="445" t="s">
        <v>1978</v>
      </c>
      <c r="C231" s="427"/>
      <c r="D231" s="427"/>
      <c r="E231" s="427"/>
      <c r="F231" s="427"/>
      <c r="G231" s="427"/>
      <c r="H231" s="427"/>
      <c r="I231" s="427"/>
      <c r="J231" s="427"/>
      <c r="K231" s="427"/>
      <c r="L231" s="427"/>
      <c r="M231" s="427"/>
      <c r="N231" s="428"/>
      <c r="O231" s="1" t="s">
        <v>96</v>
      </c>
    </row>
    <row r="232" spans="1:15" ht="20" hidden="1" customHeight="1" x14ac:dyDescent="0.35">
      <c r="A232" s="171" t="s">
        <v>1977</v>
      </c>
      <c r="B232" s="445" t="s">
        <v>1979</v>
      </c>
      <c r="C232" s="427"/>
      <c r="D232" s="427"/>
      <c r="E232" s="427"/>
      <c r="F232" s="427"/>
      <c r="G232" s="427"/>
      <c r="H232" s="427"/>
      <c r="I232" s="427"/>
      <c r="J232" s="427"/>
      <c r="K232" s="427"/>
      <c r="L232" s="427"/>
      <c r="M232" s="427"/>
      <c r="N232" s="428"/>
      <c r="O232" s="1" t="s">
        <v>96</v>
      </c>
    </row>
    <row r="233" spans="1:15" ht="20" hidden="1" customHeight="1" x14ac:dyDescent="0.35">
      <c r="A233" s="171" t="s">
        <v>1985</v>
      </c>
      <c r="B233" s="445" t="s">
        <v>1986</v>
      </c>
      <c r="C233" s="427"/>
      <c r="D233" s="427"/>
      <c r="E233" s="427"/>
      <c r="F233" s="427"/>
      <c r="G233" s="427"/>
      <c r="H233" s="427"/>
      <c r="I233" s="427"/>
      <c r="J233" s="427"/>
      <c r="K233" s="427"/>
      <c r="L233" s="427"/>
      <c r="M233" s="427"/>
      <c r="N233" s="428"/>
      <c r="O233" s="1"/>
    </row>
    <row r="234" spans="1:15" ht="20" hidden="1" customHeight="1" x14ac:dyDescent="0.35">
      <c r="A234" s="171" t="s">
        <v>1990</v>
      </c>
      <c r="B234" s="425" t="s">
        <v>1991</v>
      </c>
      <c r="C234" s="427"/>
      <c r="D234" s="427"/>
      <c r="E234" s="427"/>
      <c r="F234" s="427"/>
      <c r="G234" s="427"/>
      <c r="H234" s="427"/>
      <c r="I234" s="427"/>
      <c r="J234" s="427"/>
      <c r="K234" s="427"/>
      <c r="L234" s="427"/>
      <c r="M234" s="427"/>
      <c r="N234" s="428"/>
      <c r="O234" s="1" t="s">
        <v>1773</v>
      </c>
    </row>
    <row r="235" spans="1:15" ht="20" hidden="1" customHeight="1" x14ac:dyDescent="0.35">
      <c r="A235" s="171" t="s">
        <v>1993</v>
      </c>
      <c r="B235" s="445" t="s">
        <v>1994</v>
      </c>
      <c r="C235" s="427"/>
      <c r="D235" s="427"/>
      <c r="E235" s="427"/>
      <c r="F235" s="427"/>
      <c r="G235" s="427"/>
      <c r="H235" s="427"/>
      <c r="I235" s="427"/>
      <c r="J235" s="427"/>
      <c r="K235" s="427"/>
      <c r="L235" s="427"/>
      <c r="M235" s="427"/>
      <c r="N235" s="428"/>
      <c r="O235" s="1" t="s">
        <v>96</v>
      </c>
    </row>
    <row r="236" spans="1:15" ht="20" hidden="1" customHeight="1" x14ac:dyDescent="0.35">
      <c r="A236" s="171" t="s">
        <v>2013</v>
      </c>
      <c r="B236" s="445" t="s">
        <v>2088</v>
      </c>
      <c r="C236" s="427"/>
      <c r="D236" s="427"/>
      <c r="E236" s="427"/>
      <c r="F236" s="427"/>
      <c r="G236" s="427"/>
      <c r="H236" s="427"/>
      <c r="I236" s="427"/>
      <c r="J236" s="427"/>
      <c r="K236" s="427"/>
      <c r="L236" s="427"/>
      <c r="M236" s="427"/>
      <c r="N236" s="428"/>
      <c r="O236" s="1" t="s">
        <v>1954</v>
      </c>
    </row>
    <row r="237" spans="1:15" ht="20" hidden="1" customHeight="1" x14ac:dyDescent="0.35">
      <c r="A237" s="222" t="s">
        <v>2016</v>
      </c>
      <c r="B237" s="425" t="s">
        <v>2267</v>
      </c>
      <c r="C237" s="425"/>
      <c r="D237" s="425"/>
      <c r="E237" s="425"/>
      <c r="F237" s="425"/>
      <c r="G237" s="425"/>
      <c r="H237" s="425"/>
      <c r="I237" s="425"/>
      <c r="J237" s="425"/>
      <c r="K237" s="425"/>
      <c r="L237" s="425"/>
      <c r="M237" s="425"/>
      <c r="N237" s="425"/>
      <c r="O237" s="13" t="s">
        <v>95</v>
      </c>
    </row>
    <row r="238" spans="1:15" ht="20" hidden="1" customHeight="1" x14ac:dyDescent="0.35">
      <c r="A238" s="222" t="s">
        <v>2018</v>
      </c>
      <c r="B238" s="424" t="s">
        <v>2058</v>
      </c>
      <c r="C238" s="425"/>
      <c r="D238" s="425"/>
      <c r="E238" s="425"/>
      <c r="F238" s="425"/>
      <c r="G238" s="425"/>
      <c r="H238" s="425"/>
      <c r="I238" s="425"/>
      <c r="J238" s="425"/>
      <c r="K238" s="425"/>
      <c r="L238" s="425"/>
      <c r="M238" s="425"/>
      <c r="N238" s="425"/>
      <c r="O238" s="132"/>
    </row>
    <row r="239" spans="1:15" ht="20" hidden="1" customHeight="1" x14ac:dyDescent="0.35">
      <c r="A239" s="222" t="s">
        <v>2031</v>
      </c>
      <c r="B239" s="424" t="s">
        <v>2059</v>
      </c>
      <c r="C239" s="425"/>
      <c r="D239" s="425"/>
      <c r="E239" s="425"/>
      <c r="F239" s="425"/>
      <c r="G239" s="425"/>
      <c r="H239" s="425"/>
      <c r="I239" s="425"/>
      <c r="J239" s="425"/>
      <c r="K239" s="425"/>
      <c r="L239" s="425"/>
      <c r="M239" s="425"/>
      <c r="N239" s="425"/>
      <c r="O239" s="132" t="s">
        <v>2050</v>
      </c>
    </row>
    <row r="240" spans="1:15" ht="20" hidden="1" customHeight="1" x14ac:dyDescent="0.35">
      <c r="A240" s="222" t="s">
        <v>2041</v>
      </c>
      <c r="B240" s="422" t="s">
        <v>2042</v>
      </c>
      <c r="C240" s="422"/>
      <c r="D240" s="422"/>
      <c r="E240" s="422"/>
      <c r="F240" s="422"/>
      <c r="G240" s="422"/>
      <c r="H240" s="422"/>
      <c r="I240" s="422"/>
      <c r="J240" s="422"/>
      <c r="K240" s="422"/>
      <c r="L240" s="422"/>
      <c r="M240" s="422"/>
      <c r="N240" s="422"/>
      <c r="O240" s="132" t="s">
        <v>96</v>
      </c>
    </row>
    <row r="241" spans="1:15" ht="20" hidden="1" customHeight="1" x14ac:dyDescent="0.35">
      <c r="A241" s="222" t="s">
        <v>2053</v>
      </c>
      <c r="B241" s="422" t="s">
        <v>2243</v>
      </c>
      <c r="C241" s="422"/>
      <c r="D241" s="422"/>
      <c r="E241" s="422"/>
      <c r="F241" s="422"/>
      <c r="G241" s="422"/>
      <c r="H241" s="422"/>
      <c r="I241" s="422"/>
      <c r="J241" s="422"/>
      <c r="K241" s="422"/>
      <c r="L241" s="422"/>
      <c r="M241" s="422"/>
      <c r="N241" s="422"/>
      <c r="O241" s="132" t="s">
        <v>96</v>
      </c>
    </row>
    <row r="242" spans="1:15" ht="20" hidden="1" customHeight="1" x14ac:dyDescent="0.35">
      <c r="A242" s="222" t="s">
        <v>2072</v>
      </c>
      <c r="B242" s="424" t="s">
        <v>2073</v>
      </c>
      <c r="C242" s="425"/>
      <c r="D242" s="425"/>
      <c r="E242" s="425"/>
      <c r="F242" s="425"/>
      <c r="G242" s="425"/>
      <c r="H242" s="425"/>
      <c r="I242" s="425"/>
      <c r="J242" s="425"/>
      <c r="K242" s="425"/>
      <c r="L242" s="425"/>
      <c r="M242" s="425"/>
      <c r="N242" s="425"/>
      <c r="O242" s="132" t="s">
        <v>2050</v>
      </c>
    </row>
    <row r="243" spans="1:15" ht="20" hidden="1" customHeight="1" x14ac:dyDescent="0.35">
      <c r="A243" s="222" t="s">
        <v>2107</v>
      </c>
      <c r="B243" s="424" t="s">
        <v>2108</v>
      </c>
      <c r="C243" s="425"/>
      <c r="D243" s="425"/>
      <c r="E243" s="425"/>
      <c r="F243" s="425"/>
      <c r="G243" s="425"/>
      <c r="H243" s="425"/>
      <c r="I243" s="425"/>
      <c r="J243" s="425"/>
      <c r="K243" s="425"/>
      <c r="L243" s="425"/>
      <c r="M243" s="425"/>
      <c r="N243" s="425"/>
      <c r="O243" s="132" t="s">
        <v>96</v>
      </c>
    </row>
    <row r="244" spans="1:15" ht="30" hidden="1" customHeight="1" x14ac:dyDescent="0.35">
      <c r="A244" s="222" t="s">
        <v>2121</v>
      </c>
      <c r="B244" s="424" t="s">
        <v>2124</v>
      </c>
      <c r="C244" s="424"/>
      <c r="D244" s="424"/>
      <c r="E244" s="424"/>
      <c r="F244" s="424"/>
      <c r="G244" s="424"/>
      <c r="H244" s="424"/>
      <c r="I244" s="424"/>
      <c r="J244" s="424"/>
      <c r="K244" s="424"/>
      <c r="L244" s="424"/>
      <c r="M244" s="424"/>
      <c r="N244" s="424"/>
      <c r="O244" s="132" t="s">
        <v>2050</v>
      </c>
    </row>
    <row r="245" spans="1:15" ht="32" hidden="1" customHeight="1" x14ac:dyDescent="0.35">
      <c r="A245" s="222" t="s">
        <v>2122</v>
      </c>
      <c r="B245" s="424" t="s">
        <v>2194</v>
      </c>
      <c r="C245" s="425"/>
      <c r="D245" s="425"/>
      <c r="E245" s="425"/>
      <c r="F245" s="425"/>
      <c r="G245" s="425"/>
      <c r="H245" s="425"/>
      <c r="I245" s="425"/>
      <c r="J245" s="425"/>
      <c r="K245" s="425"/>
      <c r="L245" s="425"/>
      <c r="M245" s="425"/>
      <c r="N245" s="425"/>
      <c r="O245" s="132" t="s">
        <v>2050</v>
      </c>
    </row>
    <row r="246" spans="1:15" ht="23" hidden="1" customHeight="1" x14ac:dyDescent="0.35">
      <c r="A246" s="222" t="s">
        <v>2127</v>
      </c>
      <c r="B246" s="424" t="s">
        <v>2128</v>
      </c>
      <c r="C246" s="425"/>
      <c r="D246" s="425"/>
      <c r="E246" s="425"/>
      <c r="F246" s="425"/>
      <c r="G246" s="425"/>
      <c r="H246" s="425"/>
      <c r="I246" s="425"/>
      <c r="J246" s="425"/>
      <c r="K246" s="425"/>
      <c r="L246" s="425"/>
      <c r="M246" s="425"/>
      <c r="N246" s="425"/>
      <c r="O246" s="132" t="s">
        <v>2150</v>
      </c>
    </row>
    <row r="247" spans="1:15" ht="23" hidden="1" customHeight="1" x14ac:dyDescent="0.35">
      <c r="A247" s="222" t="s">
        <v>2151</v>
      </c>
      <c r="B247" s="424" t="s">
        <v>2160</v>
      </c>
      <c r="C247" s="425"/>
      <c r="D247" s="425"/>
      <c r="E247" s="425"/>
      <c r="F247" s="425"/>
      <c r="G247" s="425"/>
      <c r="H247" s="425"/>
      <c r="I247" s="425"/>
      <c r="J247" s="425"/>
      <c r="K247" s="425"/>
      <c r="L247" s="425"/>
      <c r="M247" s="425"/>
      <c r="N247" s="425"/>
      <c r="O247" s="132" t="s">
        <v>2050</v>
      </c>
    </row>
    <row r="248" spans="1:15" ht="23" hidden="1" customHeight="1" x14ac:dyDescent="0.35">
      <c r="A248" s="222" t="s">
        <v>2152</v>
      </c>
      <c r="B248" s="426" t="s">
        <v>2153</v>
      </c>
      <c r="C248" s="422"/>
      <c r="D248" s="422"/>
      <c r="E248" s="422"/>
      <c r="F248" s="422"/>
      <c r="G248" s="422"/>
      <c r="H248" s="422"/>
      <c r="I248" s="422"/>
      <c r="J248" s="422"/>
      <c r="K248" s="422"/>
      <c r="L248" s="422"/>
      <c r="M248" s="422"/>
      <c r="N248" s="422"/>
      <c r="O248" s="1" t="s">
        <v>1308</v>
      </c>
    </row>
    <row r="249" spans="1:15" ht="23" hidden="1" customHeight="1" x14ac:dyDescent="0.35">
      <c r="A249" s="222" t="s">
        <v>2161</v>
      </c>
      <c r="B249" s="424" t="s">
        <v>2164</v>
      </c>
      <c r="C249" s="425"/>
      <c r="D249" s="425"/>
      <c r="E249" s="425"/>
      <c r="F249" s="425"/>
      <c r="G249" s="425"/>
      <c r="H249" s="425"/>
      <c r="I249" s="425"/>
      <c r="J249" s="425"/>
      <c r="K249" s="425"/>
      <c r="L249" s="425"/>
      <c r="M249" s="425"/>
      <c r="N249" s="425"/>
      <c r="O249" s="132" t="s">
        <v>194</v>
      </c>
    </row>
    <row r="250" spans="1:15" ht="23" hidden="1" customHeight="1" x14ac:dyDescent="0.35">
      <c r="A250" s="222" t="s">
        <v>2170</v>
      </c>
      <c r="B250" s="445" t="s">
        <v>2171</v>
      </c>
      <c r="C250" s="448"/>
      <c r="D250" s="448"/>
      <c r="E250" s="448"/>
      <c r="F250" s="448"/>
      <c r="G250" s="448"/>
      <c r="H250" s="448"/>
      <c r="I250" s="448"/>
      <c r="J250" s="448"/>
      <c r="K250" s="448"/>
      <c r="L250" s="448"/>
      <c r="M250" s="448"/>
      <c r="N250" s="449"/>
      <c r="O250" s="132"/>
    </row>
    <row r="251" spans="1:15" ht="23" hidden="1" customHeight="1" x14ac:dyDescent="0.35">
      <c r="A251" s="222" t="s">
        <v>2180</v>
      </c>
      <c r="B251" s="425" t="s">
        <v>2182</v>
      </c>
      <c r="C251" s="425"/>
      <c r="D251" s="425"/>
      <c r="E251" s="425"/>
      <c r="F251" s="425"/>
      <c r="G251" s="425"/>
      <c r="H251" s="425"/>
      <c r="I251" s="425"/>
      <c r="J251" s="425"/>
      <c r="K251" s="425"/>
      <c r="L251" s="425"/>
      <c r="M251" s="425"/>
      <c r="N251" s="425"/>
      <c r="O251" s="132" t="s">
        <v>1773</v>
      </c>
    </row>
    <row r="252" spans="1:15" ht="20" hidden="1" customHeight="1" x14ac:dyDescent="0.35">
      <c r="A252" s="79" t="s">
        <v>2195</v>
      </c>
      <c r="B252" s="425" t="s">
        <v>2196</v>
      </c>
      <c r="C252" s="425"/>
      <c r="D252" s="425"/>
      <c r="E252" s="425"/>
      <c r="F252" s="425"/>
      <c r="G252" s="425"/>
      <c r="H252" s="425"/>
      <c r="I252" s="425"/>
      <c r="J252" s="425"/>
      <c r="K252" s="425"/>
      <c r="L252" s="425"/>
      <c r="M252" s="425"/>
      <c r="N252" s="425"/>
      <c r="O252" s="1" t="s">
        <v>1773</v>
      </c>
    </row>
    <row r="253" spans="1:15" ht="20" hidden="1" customHeight="1" x14ac:dyDescent="0.35">
      <c r="A253" s="222" t="s">
        <v>2201</v>
      </c>
      <c r="B253" s="424" t="s">
        <v>2202</v>
      </c>
      <c r="C253" s="425"/>
      <c r="D253" s="425"/>
      <c r="E253" s="425"/>
      <c r="F253" s="425"/>
      <c r="G253" s="425"/>
      <c r="H253" s="425"/>
      <c r="I253" s="425"/>
      <c r="J253" s="425"/>
      <c r="K253" s="425"/>
      <c r="L253" s="425"/>
      <c r="M253" s="425"/>
      <c r="N253" s="425"/>
      <c r="O253" s="132" t="s">
        <v>96</v>
      </c>
    </row>
    <row r="254" spans="1:15" ht="20" hidden="1" customHeight="1" x14ac:dyDescent="0.35">
      <c r="A254" s="222" t="s">
        <v>2203</v>
      </c>
      <c r="B254" s="445" t="s">
        <v>2207</v>
      </c>
      <c r="C254" s="448"/>
      <c r="D254" s="448"/>
      <c r="E254" s="448"/>
      <c r="F254" s="448"/>
      <c r="G254" s="448"/>
      <c r="H254" s="448"/>
      <c r="I254" s="448"/>
      <c r="J254" s="448"/>
      <c r="K254" s="448"/>
      <c r="L254" s="448"/>
      <c r="M254" s="448"/>
      <c r="N254" s="449"/>
      <c r="O254" s="132"/>
    </row>
    <row r="255" spans="1:15" ht="20" hidden="1" customHeight="1" x14ac:dyDescent="0.35">
      <c r="A255" s="222" t="s">
        <v>2225</v>
      </c>
      <c r="B255" s="422" t="s">
        <v>2224</v>
      </c>
      <c r="C255" s="422"/>
      <c r="D255" s="422"/>
      <c r="E255" s="422"/>
      <c r="F255" s="422"/>
      <c r="G255" s="422"/>
      <c r="H255" s="422"/>
      <c r="I255" s="422"/>
      <c r="J255" s="422"/>
      <c r="K255" s="422"/>
      <c r="L255" s="422"/>
      <c r="M255" s="422"/>
      <c r="N255" s="422"/>
      <c r="O255" s="1"/>
    </row>
    <row r="256" spans="1:15" ht="20" hidden="1" customHeight="1" x14ac:dyDescent="0.35">
      <c r="A256" s="222" t="s">
        <v>2234</v>
      </c>
      <c r="B256" s="422" t="s">
        <v>2235</v>
      </c>
      <c r="C256" s="422"/>
      <c r="D256" s="422"/>
      <c r="E256" s="422"/>
      <c r="F256" s="422"/>
      <c r="G256" s="422"/>
      <c r="H256" s="422"/>
      <c r="I256" s="422"/>
      <c r="J256" s="422"/>
      <c r="K256" s="422"/>
      <c r="L256" s="422"/>
      <c r="M256" s="422"/>
      <c r="N256" s="422"/>
      <c r="O256" s="1" t="s">
        <v>2268</v>
      </c>
    </row>
    <row r="257" spans="1:16" ht="20" hidden="1" customHeight="1" x14ac:dyDescent="0.35">
      <c r="A257" s="222" t="s">
        <v>2269</v>
      </c>
      <c r="B257" s="429" t="s">
        <v>2270</v>
      </c>
      <c r="C257" s="429"/>
      <c r="D257" s="429"/>
      <c r="E257" s="429"/>
      <c r="F257" s="429"/>
      <c r="G257" s="429"/>
      <c r="H257" s="429"/>
      <c r="I257" s="429"/>
      <c r="J257" s="429"/>
      <c r="K257" s="429"/>
      <c r="L257" s="429"/>
      <c r="M257" s="429"/>
      <c r="N257" s="429"/>
      <c r="O257" s="1"/>
    </row>
    <row r="258" spans="1:16" ht="20" hidden="1" customHeight="1" x14ac:dyDescent="0.35">
      <c r="A258" s="222" t="s">
        <v>2276</v>
      </c>
      <c r="B258" s="450"/>
      <c r="C258" s="451"/>
      <c r="D258" s="451"/>
      <c r="E258" s="451"/>
      <c r="F258" s="451"/>
      <c r="G258" s="451"/>
      <c r="H258" s="451"/>
      <c r="I258" s="451"/>
      <c r="J258" s="451"/>
      <c r="K258" s="451"/>
      <c r="L258" s="451"/>
      <c r="M258" s="451"/>
      <c r="N258" s="452"/>
      <c r="O258" s="1"/>
    </row>
    <row r="259" spans="1:16" ht="20" hidden="1" customHeight="1" x14ac:dyDescent="0.35">
      <c r="A259" s="222" t="s">
        <v>2277</v>
      </c>
      <c r="B259" s="450"/>
      <c r="C259" s="451"/>
      <c r="D259" s="451"/>
      <c r="E259" s="451"/>
      <c r="F259" s="451"/>
      <c r="G259" s="451"/>
      <c r="H259" s="451"/>
      <c r="I259" s="451"/>
      <c r="J259" s="451"/>
      <c r="K259" s="451"/>
      <c r="L259" s="451"/>
      <c r="M259" s="451"/>
      <c r="N259" s="452"/>
      <c r="O259" s="1"/>
    </row>
    <row r="260" spans="1:16" ht="20" hidden="1" customHeight="1" x14ac:dyDescent="0.35">
      <c r="A260" s="222" t="s">
        <v>2278</v>
      </c>
      <c r="B260" s="450"/>
      <c r="C260" s="451"/>
      <c r="D260" s="451"/>
      <c r="E260" s="451"/>
      <c r="F260" s="451"/>
      <c r="G260" s="451"/>
      <c r="H260" s="451"/>
      <c r="I260" s="451"/>
      <c r="J260" s="451"/>
      <c r="K260" s="451"/>
      <c r="L260" s="451"/>
      <c r="M260" s="451"/>
      <c r="N260" s="452"/>
      <c r="O260" s="1"/>
    </row>
    <row r="261" spans="1:16" ht="20" hidden="1" customHeight="1" x14ac:dyDescent="0.35">
      <c r="A261" s="222" t="s">
        <v>2279</v>
      </c>
      <c r="B261" s="450"/>
      <c r="C261" s="451"/>
      <c r="D261" s="451"/>
      <c r="E261" s="451"/>
      <c r="F261" s="451"/>
      <c r="G261" s="451"/>
      <c r="H261" s="451"/>
      <c r="I261" s="451"/>
      <c r="J261" s="451"/>
      <c r="K261" s="451"/>
      <c r="L261" s="451"/>
      <c r="M261" s="451"/>
      <c r="N261" s="452"/>
      <c r="O261" s="1"/>
    </row>
    <row r="262" spans="1:16" ht="20" hidden="1" customHeight="1" x14ac:dyDescent="0.35">
      <c r="A262" s="222" t="s">
        <v>2280</v>
      </c>
      <c r="B262" s="450"/>
      <c r="C262" s="451"/>
      <c r="D262" s="451"/>
      <c r="E262" s="451"/>
      <c r="F262" s="451"/>
      <c r="G262" s="451"/>
      <c r="H262" s="451"/>
      <c r="I262" s="451"/>
      <c r="J262" s="451"/>
      <c r="K262" s="451"/>
      <c r="L262" s="451"/>
      <c r="M262" s="451"/>
      <c r="N262" s="452"/>
      <c r="O262" s="1"/>
    </row>
    <row r="263" spans="1:16" ht="20" hidden="1" customHeight="1" x14ac:dyDescent="0.35">
      <c r="A263" s="222" t="s">
        <v>2281</v>
      </c>
      <c r="B263" s="450" t="s">
        <v>2282</v>
      </c>
      <c r="C263" s="451"/>
      <c r="D263" s="451"/>
      <c r="E263" s="451"/>
      <c r="F263" s="451"/>
      <c r="G263" s="451"/>
      <c r="H263" s="451"/>
      <c r="I263" s="451"/>
      <c r="J263" s="451"/>
      <c r="K263" s="451"/>
      <c r="L263" s="451"/>
      <c r="M263" s="451"/>
      <c r="N263" s="452"/>
      <c r="O263" s="1"/>
    </row>
    <row r="264" spans="1:16" ht="18.5" x14ac:dyDescent="0.45">
      <c r="B264" s="454"/>
      <c r="C264" s="454"/>
      <c r="D264" s="454"/>
      <c r="E264" s="454"/>
      <c r="F264" s="454"/>
      <c r="G264" s="454"/>
      <c r="H264" s="454"/>
      <c r="I264" s="454"/>
      <c r="J264" s="454"/>
      <c r="K264" s="454"/>
      <c r="L264" s="454"/>
      <c r="M264" s="454"/>
      <c r="N264" s="454"/>
      <c r="O264" s="25"/>
      <c r="P264" s="25"/>
    </row>
    <row r="265" spans="1:16" ht="18.5" x14ac:dyDescent="0.45">
      <c r="B265" s="17"/>
      <c r="C265" s="17"/>
      <c r="D265" s="446"/>
      <c r="E265" s="446"/>
      <c r="F265" s="446"/>
      <c r="G265" s="76"/>
      <c r="H265" s="82"/>
      <c r="I265" s="447" t="s">
        <v>439</v>
      </c>
      <c r="J265" s="447"/>
      <c r="K265" s="150"/>
      <c r="N265" s="453"/>
      <c r="O265" s="453"/>
      <c r="P265" s="453"/>
    </row>
    <row r="266" spans="1:16" ht="18.5" x14ac:dyDescent="0.45">
      <c r="B266" s="76"/>
      <c r="C266" s="76"/>
      <c r="D266" s="194"/>
      <c r="E266" s="194"/>
      <c r="F266" s="194"/>
      <c r="G266" s="76"/>
      <c r="H266" s="56"/>
      <c r="I266" s="56"/>
      <c r="J266" s="56"/>
      <c r="K266" s="190"/>
      <c r="N266" s="453"/>
      <c r="O266" s="453"/>
      <c r="P266" s="453"/>
    </row>
    <row r="267" spans="1:16" ht="18.5" x14ac:dyDescent="0.45">
      <c r="B267" s="153"/>
      <c r="C267" s="198" t="s">
        <v>1295</v>
      </c>
      <c r="D267" s="147"/>
      <c r="E267" s="147"/>
      <c r="F267" s="147"/>
      <c r="G267" s="76"/>
      <c r="H267" s="56"/>
      <c r="I267" s="56"/>
      <c r="J267" s="56"/>
      <c r="K267" s="190"/>
    </row>
    <row r="268" spans="1:16" ht="18.5" x14ac:dyDescent="0.45">
      <c r="B268" s="17"/>
      <c r="C268" s="17" t="s">
        <v>803</v>
      </c>
      <c r="D268" s="446" t="str">
        <f>VLOOKUP(C268,'Sales Master'!B$3:D$537,2,)</f>
        <v>Atap Seeds in Syrup 亚嗒子</v>
      </c>
      <c r="E268" s="446"/>
      <c r="F268" s="446"/>
      <c r="G268" s="76">
        <v>1</v>
      </c>
      <c r="H268" s="82" t="str">
        <f>VLOOKUP(C268,'Sales Master'!$B$3:$F$2420,5,0)</f>
        <v>20 kgs/tin</v>
      </c>
      <c r="I268" s="447" t="str">
        <f>VLOOKUP(C268,'Sales Master'!$B$3:$E$2420,4,0)</f>
        <v>2P</v>
      </c>
      <c r="J268" s="447"/>
      <c r="K268" s="190">
        <v>64</v>
      </c>
    </row>
    <row r="269" spans="1:16" ht="18.5" x14ac:dyDescent="0.45">
      <c r="B269" s="17"/>
      <c r="C269" s="17" t="s">
        <v>804</v>
      </c>
      <c r="D269" s="446" t="str">
        <f>VLOOKUP(C269,'Sales Master'!B$3:D$537,2,)</f>
        <v>Atap Seeds in Syrup 亚嗒子</v>
      </c>
      <c r="E269" s="446"/>
      <c r="F269" s="446"/>
      <c r="G269" s="76">
        <v>1</v>
      </c>
      <c r="H269" s="82" t="str">
        <f>VLOOKUP(C269,'Sales Master'!$B$3:$F$2420,5,0)</f>
        <v>NW(2.1:0.9) 3kg/ Bag包</v>
      </c>
      <c r="I269" s="447" t="str">
        <f>VLOOKUP(C269,'Sales Master'!$B$3:$E$2420,4,0)</f>
        <v>DO!</v>
      </c>
      <c r="J269" s="447"/>
      <c r="K269" s="190">
        <v>11.5</v>
      </c>
    </row>
    <row r="270" spans="1:16" ht="18.5" x14ac:dyDescent="0.45">
      <c r="C270" s="17"/>
      <c r="D270" s="446"/>
      <c r="E270" s="446"/>
      <c r="F270" s="446"/>
      <c r="G270" s="76"/>
      <c r="H270" s="82"/>
      <c r="I270" s="447"/>
      <c r="J270" s="447"/>
      <c r="K270" s="190"/>
    </row>
    <row r="273" spans="3:3" ht="18.5" x14ac:dyDescent="0.45">
      <c r="C273" s="18" t="s">
        <v>1218</v>
      </c>
    </row>
    <row r="274" spans="3:3" ht="18.5" x14ac:dyDescent="0.45">
      <c r="C274" s="147" t="s">
        <v>1356</v>
      </c>
    </row>
    <row r="275" spans="3:3" ht="18.5" x14ac:dyDescent="0.45">
      <c r="C275" s="147" t="s">
        <v>1303</v>
      </c>
    </row>
  </sheetData>
  <autoFilter ref="A3:Z263" xr:uid="{E52E15A4-4168-4F9C-96D9-52BC99476150}">
    <filterColumn colId="1" showButton="0">
      <filters>
        <filter val="FOOD DYNASTY PTE LTD                                      101 THOMSON ROAD #B1-56                      UNITED SQUARE SINGAPORE 307591"/>
      </filters>
    </filterColumn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270">
    <mergeCell ref="B250:N250"/>
    <mergeCell ref="B189:N189"/>
    <mergeCell ref="B190:N190"/>
    <mergeCell ref="B193:N193"/>
    <mergeCell ref="B191:N191"/>
    <mergeCell ref="B192:N192"/>
    <mergeCell ref="B194:N194"/>
    <mergeCell ref="B196:N196"/>
    <mergeCell ref="B197:N197"/>
    <mergeCell ref="B213:N213"/>
    <mergeCell ref="B198:N198"/>
    <mergeCell ref="B202:N202"/>
    <mergeCell ref="B201:N201"/>
    <mergeCell ref="B200:N200"/>
    <mergeCell ref="B199:N199"/>
    <mergeCell ref="B208:N208"/>
    <mergeCell ref="B204:N204"/>
    <mergeCell ref="B203:N203"/>
    <mergeCell ref="B206:N206"/>
    <mergeCell ref="B207:N207"/>
    <mergeCell ref="B205:N205"/>
    <mergeCell ref="B210:N210"/>
    <mergeCell ref="B211:N211"/>
    <mergeCell ref="B212:N212"/>
    <mergeCell ref="B215:N215"/>
    <mergeCell ref="B216:N216"/>
    <mergeCell ref="B214:N214"/>
    <mergeCell ref="B228:N228"/>
    <mergeCell ref="B227:N227"/>
    <mergeCell ref="N265:P265"/>
    <mergeCell ref="N266:P266"/>
    <mergeCell ref="B264:N264"/>
    <mergeCell ref="B232:N232"/>
    <mergeCell ref="B263:N263"/>
    <mergeCell ref="B241:N241"/>
    <mergeCell ref="B242:N242"/>
    <mergeCell ref="B246:N246"/>
    <mergeCell ref="B247:N247"/>
    <mergeCell ref="B243:N243"/>
    <mergeCell ref="B244:N244"/>
    <mergeCell ref="B245:N245"/>
    <mergeCell ref="B233:N233"/>
    <mergeCell ref="B234:N234"/>
    <mergeCell ref="B235:N235"/>
    <mergeCell ref="B236:N236"/>
    <mergeCell ref="B237:N237"/>
    <mergeCell ref="B252:N252"/>
    <mergeCell ref="B230:N230"/>
    <mergeCell ref="D270:F270"/>
    <mergeCell ref="I270:J270"/>
    <mergeCell ref="D265:F265"/>
    <mergeCell ref="I265:J265"/>
    <mergeCell ref="D268:F268"/>
    <mergeCell ref="I268:J268"/>
    <mergeCell ref="D269:F269"/>
    <mergeCell ref="I269:J269"/>
    <mergeCell ref="B253:N253"/>
    <mergeCell ref="B254:N254"/>
    <mergeCell ref="B255:N255"/>
    <mergeCell ref="B256:N256"/>
    <mergeCell ref="B257:N257"/>
    <mergeCell ref="B260:N260"/>
    <mergeCell ref="B259:N259"/>
    <mergeCell ref="B258:N258"/>
    <mergeCell ref="B261:N261"/>
    <mergeCell ref="B262:N262"/>
    <mergeCell ref="B231:N231"/>
    <mergeCell ref="B229:N229"/>
    <mergeCell ref="B239:N239"/>
    <mergeCell ref="B240:N240"/>
    <mergeCell ref="B248:N248"/>
    <mergeCell ref="B249:N249"/>
    <mergeCell ref="B177:N177"/>
    <mergeCell ref="B182:N182"/>
    <mergeCell ref="B185:N185"/>
    <mergeCell ref="B184:N184"/>
    <mergeCell ref="B195:N195"/>
    <mergeCell ref="B217:N217"/>
    <mergeCell ref="B218:N218"/>
    <mergeCell ref="B219:N219"/>
    <mergeCell ref="B220:N220"/>
    <mergeCell ref="B221:N221"/>
    <mergeCell ref="B222:N222"/>
    <mergeCell ref="B223:N223"/>
    <mergeCell ref="B224:N224"/>
    <mergeCell ref="B225:N225"/>
    <mergeCell ref="B226:N226"/>
    <mergeCell ref="B238:N238"/>
    <mergeCell ref="B209:N209"/>
    <mergeCell ref="B188:N188"/>
    <mergeCell ref="B187:N187"/>
    <mergeCell ref="B167:N167"/>
    <mergeCell ref="B165:N165"/>
    <mergeCell ref="B166:N166"/>
    <mergeCell ref="B164:N164"/>
    <mergeCell ref="B163:N163"/>
    <mergeCell ref="B168:N168"/>
    <mergeCell ref="B186:N186"/>
    <mergeCell ref="B183:N183"/>
    <mergeCell ref="B178:N178"/>
    <mergeCell ref="B179:N179"/>
    <mergeCell ref="B180:N180"/>
    <mergeCell ref="B181:N181"/>
    <mergeCell ref="B169:N169"/>
    <mergeCell ref="B170:N170"/>
    <mergeCell ref="B171:N171"/>
    <mergeCell ref="B173:N173"/>
    <mergeCell ref="B174:N174"/>
    <mergeCell ref="B175:N175"/>
    <mergeCell ref="B176:N176"/>
    <mergeCell ref="B172:N172"/>
    <mergeCell ref="B57:N57"/>
    <mergeCell ref="B133:N133"/>
    <mergeCell ref="B144:N144"/>
    <mergeCell ref="B141:N141"/>
    <mergeCell ref="B139:N139"/>
    <mergeCell ref="B138:N138"/>
    <mergeCell ref="B54:N54"/>
    <mergeCell ref="B115:N115"/>
    <mergeCell ref="B132:N132"/>
    <mergeCell ref="B129:N129"/>
    <mergeCell ref="B127:N127"/>
    <mergeCell ref="B126:N126"/>
    <mergeCell ref="B117:N117"/>
    <mergeCell ref="B119:N119"/>
    <mergeCell ref="B118:N118"/>
    <mergeCell ref="B120:N120"/>
    <mergeCell ref="B128:N128"/>
    <mergeCell ref="B125:N125"/>
    <mergeCell ref="B121:N121"/>
    <mergeCell ref="B122:N122"/>
    <mergeCell ref="B123:N123"/>
    <mergeCell ref="B111:N111"/>
    <mergeCell ref="B142:N142"/>
    <mergeCell ref="B137:N137"/>
    <mergeCell ref="B3:N3"/>
    <mergeCell ref="B31:N31"/>
    <mergeCell ref="B33:N33"/>
    <mergeCell ref="B44:N44"/>
    <mergeCell ref="B45:N45"/>
    <mergeCell ref="B50:N50"/>
    <mergeCell ref="B41:N41"/>
    <mergeCell ref="B43:N43"/>
    <mergeCell ref="B34:N34"/>
    <mergeCell ref="B38:N38"/>
    <mergeCell ref="B35:N35"/>
    <mergeCell ref="B36:N36"/>
    <mergeCell ref="B27:N27"/>
    <mergeCell ref="B37:N37"/>
    <mergeCell ref="B40:N40"/>
    <mergeCell ref="B4:N4"/>
    <mergeCell ref="B5:N5"/>
    <mergeCell ref="B8:N8"/>
    <mergeCell ref="B6:N6"/>
    <mergeCell ref="B7:N7"/>
    <mergeCell ref="B9:N9"/>
    <mergeCell ref="B11:N11"/>
    <mergeCell ref="B10:N10"/>
    <mergeCell ref="B26:N26"/>
    <mergeCell ref="B20:N20"/>
    <mergeCell ref="B23:N23"/>
    <mergeCell ref="B12:N12"/>
    <mergeCell ref="B15:N15"/>
    <mergeCell ref="B25:N25"/>
    <mergeCell ref="B21:N21"/>
    <mergeCell ref="B47:N47"/>
    <mergeCell ref="B39:N39"/>
    <mergeCell ref="B49:N49"/>
    <mergeCell ref="B32:N32"/>
    <mergeCell ref="B24:N24"/>
    <mergeCell ref="B16:N16"/>
    <mergeCell ref="B13:N13"/>
    <mergeCell ref="B17:N17"/>
    <mergeCell ref="B22:N22"/>
    <mergeCell ref="B18:N18"/>
    <mergeCell ref="B19:N19"/>
    <mergeCell ref="B48:N48"/>
    <mergeCell ref="B42:N42"/>
    <mergeCell ref="B14:N14"/>
    <mergeCell ref="B52:N52"/>
    <mergeCell ref="B51:N51"/>
    <mergeCell ref="B28:N28"/>
    <mergeCell ref="B29:N29"/>
    <mergeCell ref="B30:N30"/>
    <mergeCell ref="B46:N46"/>
    <mergeCell ref="B73:N73"/>
    <mergeCell ref="B64:N64"/>
    <mergeCell ref="B68:N68"/>
    <mergeCell ref="B69:N69"/>
    <mergeCell ref="B65:N65"/>
    <mergeCell ref="B66:N66"/>
    <mergeCell ref="B67:N67"/>
    <mergeCell ref="B70:N70"/>
    <mergeCell ref="B71:N71"/>
    <mergeCell ref="B58:N58"/>
    <mergeCell ref="B56:N56"/>
    <mergeCell ref="B53:N53"/>
    <mergeCell ref="B63:N63"/>
    <mergeCell ref="B62:N62"/>
    <mergeCell ref="B61:N61"/>
    <mergeCell ref="B60:N60"/>
    <mergeCell ref="B55:N55"/>
    <mergeCell ref="B59:N59"/>
    <mergeCell ref="B72:N72"/>
    <mergeCell ref="B86:N86"/>
    <mergeCell ref="B78:N78"/>
    <mergeCell ref="B77:N77"/>
    <mergeCell ref="B75:N75"/>
    <mergeCell ref="B74:N74"/>
    <mergeCell ref="B79:N79"/>
    <mergeCell ref="B81:N81"/>
    <mergeCell ref="B85:N85"/>
    <mergeCell ref="B82:N82"/>
    <mergeCell ref="B83:N83"/>
    <mergeCell ref="B162:N162"/>
    <mergeCell ref="B159:N159"/>
    <mergeCell ref="B135:N135"/>
    <mergeCell ref="B134:N134"/>
    <mergeCell ref="B157:N157"/>
    <mergeCell ref="B156:N156"/>
    <mergeCell ref="B158:N158"/>
    <mergeCell ref="B161:N161"/>
    <mergeCell ref="B160:N160"/>
    <mergeCell ref="B145:N145"/>
    <mergeCell ref="B143:N143"/>
    <mergeCell ref="B153:N153"/>
    <mergeCell ref="B152:N152"/>
    <mergeCell ref="B151:N151"/>
    <mergeCell ref="B149:N149"/>
    <mergeCell ref="B146:N146"/>
    <mergeCell ref="B148:N148"/>
    <mergeCell ref="B147:N147"/>
    <mergeCell ref="B150:N150"/>
    <mergeCell ref="B94:N94"/>
    <mergeCell ref="B251:N251"/>
    <mergeCell ref="B114:N114"/>
    <mergeCell ref="B76:N76"/>
    <mergeCell ref="B95:N95"/>
    <mergeCell ref="B103:N103"/>
    <mergeCell ref="B98:N98"/>
    <mergeCell ref="B99:N99"/>
    <mergeCell ref="B100:N100"/>
    <mergeCell ref="B84:N84"/>
    <mergeCell ref="B80:N80"/>
    <mergeCell ref="B92:N92"/>
    <mergeCell ref="B93:N93"/>
    <mergeCell ref="B91:N91"/>
    <mergeCell ref="B90:N90"/>
    <mergeCell ref="B89:N89"/>
    <mergeCell ref="B88:N88"/>
    <mergeCell ref="B87:N87"/>
    <mergeCell ref="B131:N131"/>
    <mergeCell ref="B130:N130"/>
    <mergeCell ref="B116:N116"/>
    <mergeCell ref="B124:N124"/>
    <mergeCell ref="B155:N155"/>
    <mergeCell ref="B154:N154"/>
    <mergeCell ref="B105:N105"/>
    <mergeCell ref="B106:N106"/>
    <mergeCell ref="B104:N104"/>
    <mergeCell ref="B102:N102"/>
    <mergeCell ref="B97:N97"/>
    <mergeCell ref="B96:N96"/>
    <mergeCell ref="B101:N101"/>
    <mergeCell ref="B110:N110"/>
    <mergeCell ref="B113:N113"/>
    <mergeCell ref="B112:N112"/>
    <mergeCell ref="B107:N107"/>
    <mergeCell ref="B109:N109"/>
    <mergeCell ref="B108:N108"/>
  </mergeCells>
  <conditionalFormatting sqref="B267:B269">
    <cfRule type="duplicateValues" dxfId="264" priority="1544"/>
  </conditionalFormatting>
  <conditionalFormatting sqref="B268:B269">
    <cfRule type="duplicateValues" dxfId="263" priority="1545"/>
  </conditionalFormatting>
  <conditionalFormatting sqref="C267:C269">
    <cfRule type="duplicateValues" dxfId="262" priority="2"/>
  </conditionalFormatting>
  <conditionalFormatting sqref="C270">
    <cfRule type="duplicateValues" dxfId="261" priority="3"/>
  </conditionalFormatting>
  <hyperlinks>
    <hyperlink ref="A36" location="'#33'!K10" display="ID#33" xr:uid="{9C9CF657-DF61-467D-98F6-1B3953EA60CF}"/>
    <hyperlink ref="A81" location="'#78'!K10" display="ID#78" xr:uid="{257ABD56-54F6-4FB5-B891-19FC6232280B}"/>
    <hyperlink ref="A77" location="'#74'!Print_Area" display="ID#74" xr:uid="{D3E0B76E-9C14-47B9-AA8B-E23DA101BF26}"/>
    <hyperlink ref="A78" location="'#75'!Print_Area" display="ID#75" xr:uid="{1291AB5E-2890-4012-88CA-3D554476A336}"/>
    <hyperlink ref="A79" location="'#76'!Print_Area" display="ID#76" xr:uid="{6738DCF7-F586-434A-9833-2E70804336E1}"/>
    <hyperlink ref="A44" location="'#41'!Print_Area" display="ID#41" xr:uid="{A186D990-B97B-45F3-BD5C-0003B90428E9}"/>
    <hyperlink ref="A90" location="'#87'!Print_Area" display="ID#87" xr:uid="{07E8B96A-06CB-42A4-899C-366F1C9B4419}"/>
    <hyperlink ref="A47" location="'#44'!Print_Area" display="ID#44" xr:uid="{2B06E5EB-A8EF-493D-86DC-B91C816A30D9}"/>
    <hyperlink ref="A7" location="'#04'!K10" display="ID#04" xr:uid="{770CE230-661A-4AC1-A79D-6E72D1F3979D}"/>
    <hyperlink ref="A6" location="'#03'!K10" display="ID#03" xr:uid="{70022009-7B21-433E-B35D-A70FBB94813D}"/>
    <hyperlink ref="A53" location="'#50'!K10" display="ID#50" xr:uid="{E8F5E0E6-DBB8-4A2A-8F46-84397BFE0718}"/>
    <hyperlink ref="A92" location="'#89'!K10" display="ID#89" xr:uid="{0A749913-B5B5-4641-BE01-F5ED506815B2}"/>
    <hyperlink ref="A21" location="'#18'!Print_Area" display="ID#18" xr:uid="{5D40E5EE-B32F-4BF1-A2F7-C0CD7A0A1B90}"/>
    <hyperlink ref="A20" location="'#17'!Print_Area" display="ID#17" xr:uid="{6F534E9D-6BAE-4463-B8FA-D3D5BD27CE88}"/>
    <hyperlink ref="A19" location="'#16'!Print_Area" display="ID#16" xr:uid="{91577285-EF14-4CBD-A780-5D8D398334A0}"/>
    <hyperlink ref="A48" location="'#45'!Print_Area" display="ID#45" xr:uid="{A70736DC-555D-4585-96BB-A1524AB641AC}"/>
    <hyperlink ref="A93" location="'#90'!Print_Area" display="ID#90" xr:uid="{208D32BB-5B64-4F02-8A9D-BDDDB9D60B96}"/>
    <hyperlink ref="A13" location="'#10'!Print_Area" display="ID#10" xr:uid="{AAD6E324-D966-43EE-97FA-651A75FEF5F1}"/>
    <hyperlink ref="A14" location="'#11'!Print_Area" display="ID#11" xr:uid="{BDD214FB-0AA4-4350-A4B6-94A2642E88CB}"/>
    <hyperlink ref="A95" location="'#92'!Print_Area" display="ID#92" xr:uid="{D14388C9-347F-46A3-8E47-41696A727498}"/>
    <hyperlink ref="A82" location="'#79'!Print_Area" display="ID#79" xr:uid="{FFA9FD2C-002A-4B49-9E99-1779D8E09179}"/>
    <hyperlink ref="A96" location="'#93'!Print_Area" display="ID#93" xr:uid="{FB1A7DAC-F611-41E9-B426-0583227B891A}"/>
    <hyperlink ref="A83" location="'#80'!Print_Area" display="ID#80" xr:uid="{86F212B5-0CE3-47D1-94E9-784EDD864806}"/>
    <hyperlink ref="A97" location="'#94'!Print_Area" display="ID#94" xr:uid="{CE2D4EAA-568E-480F-A74B-FB248D242640}"/>
    <hyperlink ref="A16" location="'#13'!Print_Area" display="ID#13" xr:uid="{F08279ED-5043-4A1C-A285-611A793442C3}"/>
    <hyperlink ref="A94" location="'#91'!Print_Area" display="ID#91" xr:uid="{D76DF2BF-662B-410A-8973-8A3A084558C8}"/>
    <hyperlink ref="A98" location="'#95'!Print_Area" display="ID#95" xr:uid="{AD10342C-B68E-4E2E-8E25-CB7151AD426C}"/>
    <hyperlink ref="A54" location="'#51'!Print_Area" display="ID#51" xr:uid="{25357BC3-2782-4AD8-BA31-A4BFD6120334}"/>
    <hyperlink ref="A72" location="'#69'!K10" display="ID#69" xr:uid="{EFCD1BDB-AB02-4F1A-9066-ECA0D333C6EB}"/>
    <hyperlink ref="A99" location="'#96'!A1" display="ID#96" xr:uid="{0F3A011A-94A4-41D9-B4E9-E22CB2C118DF}"/>
    <hyperlink ref="A31" location="'#28'!Print_Area" display="ID#28" xr:uid="{ED0E4D5C-78C0-4E58-B753-89C1AFE75CBB}"/>
    <hyperlink ref="A32" location="'#29'!Print_Area" display="ID#29" xr:uid="{544E8E3A-E511-41A9-9472-EC3B54B50604}"/>
    <hyperlink ref="A84" location="'#81'!Print_Area" display="ID#81" xr:uid="{2B70D826-EF0C-4169-8755-0DF17D51C93F}"/>
    <hyperlink ref="A51" location="'#48'!Print_Area" display="ID#48" xr:uid="{B55A3B4E-F6FE-4282-973D-C0EBABDEA79E}"/>
    <hyperlink ref="A17" location="'#14'!Print_Area" display="ID#14" xr:uid="{3ABA9987-2B48-4ED6-88C7-6BF68FF6A3F9}"/>
    <hyperlink ref="A15" location="'#12'!Print_Area" display="ID#12" xr:uid="{1A79E801-621F-410C-8EE5-45E4ADDFA573}"/>
    <hyperlink ref="A100" location="'#97'!Print_Area" display="ID#97" xr:uid="{4A17427B-0332-495A-90C3-91D10710D909}"/>
    <hyperlink ref="A39" location="'#36'!Print_Area" display="ID#36" xr:uid="{26FF2C85-1015-41E4-9103-A4D28E30D6C5}"/>
    <hyperlink ref="A43" location="'#40'!Print_Area" display="ID#40" xr:uid="{EBDAEBC4-CDA4-4106-8A45-987F8B41F76A}"/>
    <hyperlink ref="A58" location="'#55'!Print_Area" display="ID#55" xr:uid="{056ECA49-E781-4CC3-8141-A414E5ADC0C0}"/>
    <hyperlink ref="A57" location="'#54'!Print_Area" display="ID#54" xr:uid="{9B3ABF53-287F-4CB5-A69B-ADDBA95EAECF}"/>
    <hyperlink ref="A46" location="'#43'!Print_Area" display="ID#43" xr:uid="{A26B2792-7342-4456-858F-6BD47D94376C}"/>
    <hyperlink ref="A29" location="'#26'!Print_Area" display="ID#26" xr:uid="{3615BC19-D3B6-45F0-8D6F-15838269483C}"/>
    <hyperlink ref="A23" location="'#20'!Print_Area" display="ID#20" xr:uid="{DD436A41-AC1B-4096-B1B0-9A3C147C99B5}"/>
    <hyperlink ref="A74" location="'#71'!Print_Area" display="ID#71" xr:uid="{770C7BDA-57A1-4908-8001-E9A0930D087F}"/>
    <hyperlink ref="A9" location="'#06'!Print_Area" display="ID#06" xr:uid="{913F87ED-4018-4EB4-8405-6681E4673AC2}"/>
    <hyperlink ref="A10" location="'#07'!Print_Area" display="ID#07" xr:uid="{581644D9-4F90-4800-BE88-AFF6F3F30360}"/>
    <hyperlink ref="A62" location="'#59'!Print_Area" display="ID#59" xr:uid="{CE1AE6AD-738C-40DE-BE35-D664AE5FB643}"/>
    <hyperlink ref="A18" location="'#15'!Print_Area" display="ID#15" xr:uid="{D472910E-BC5F-4FA7-A3EC-528722A5BF1C}"/>
    <hyperlink ref="A8" location="'#05'!Print_Area" display="ID#05" xr:uid="{C074ACB7-57B5-4836-9B07-66F0377015C4}"/>
    <hyperlink ref="A4" location="'#01'!K10" display="ID#01" xr:uid="{8D537EC5-BC43-4141-8EE5-D0A4BB3D7AB5}"/>
    <hyperlink ref="A5" location="'#02'!K10" display="ID#02" xr:uid="{DCB7CDE0-CF91-4FA4-91B5-8E985D4D870E}"/>
    <hyperlink ref="A22" location="'#19'!Print_Area" display="ID#19" xr:uid="{F66327A6-9A23-4085-82FA-EAEAB40154B4}"/>
    <hyperlink ref="A27" location="'#24'!Print_Area" display="ID#24" xr:uid="{8F1FD257-E894-4155-9A91-91C9F2597364}"/>
    <hyperlink ref="A69" location="'#66'!Print_Area" display="ID#66" xr:uid="{408D6C60-9AA7-447D-9B86-3D47F96053D6}"/>
    <hyperlink ref="A34" location="'#31'!Print_Area" display="ID#31" xr:uid="{EA305AE0-4843-4268-86AE-6D4BDBF54733}"/>
    <hyperlink ref="A35" location="'#32'!Print_Area" display="ID#32" xr:uid="{8EE02A97-9C5E-43C7-94C2-145D2B623500}"/>
    <hyperlink ref="A37" location="'#34'!Print_Area" display="ID#34" xr:uid="{7A22469D-04F8-40FC-8C4F-7952574CF333}"/>
    <hyperlink ref="A63" location="'#60'!Print_Area" display="ID#60" xr:uid="{23DA12BC-6816-4E3D-A9AA-DEF193375CBE}"/>
    <hyperlink ref="A38" location="'#35'!Print_Area" display="ID#35" xr:uid="{55486963-8140-4FB2-B64E-D9AFD3FBB87D}"/>
    <hyperlink ref="A40" location="'#37'!Print_Area" display="ID#37" xr:uid="{7612EA49-8E01-4C74-AB43-431E5CC9B733}"/>
    <hyperlink ref="A41" location="'#38'!Print_Area" display="ID#38" xr:uid="{08343333-3CA9-4C88-BE72-4AB5128F3463}"/>
    <hyperlink ref="A45" location="'#42'!Print_Area" display="ID#42" xr:uid="{ED9F4A15-35E5-4C1A-B5A9-646D3652305C}"/>
    <hyperlink ref="A55" location="'#52'!Print_Area" display="ID#52" xr:uid="{58B2B738-4A79-496E-9E85-54C01725DFBE}"/>
    <hyperlink ref="A64" location="'#61'!Print_Area" display="ID#61" xr:uid="{92098091-AA60-43B2-B4D3-86B1D34A07E1}"/>
    <hyperlink ref="A68" location="'#65'!Print_Area" display="ID#65" xr:uid="{8901DD8C-6B2F-422B-9CFA-ED6E9D8A2244}"/>
    <hyperlink ref="A70" location="'#67'!Print_Area" display="ID#67" xr:uid="{67340604-4346-415C-87C4-29EC27044B55}"/>
    <hyperlink ref="A71" location="'#68'!Print_Area" display="ID#68" xr:uid="{8D271B23-3EF1-493E-9540-B8AF060A3373}"/>
    <hyperlink ref="A73" location="'#70'!Print_Area" display="ID#70" xr:uid="{3CE15121-CE54-4753-92A7-F00117E8B25E}"/>
    <hyperlink ref="A76" location="'#73'!Print_Area" display="ID#73" xr:uid="{22D04132-98A1-46D6-9EEB-0FE03F10D093}"/>
    <hyperlink ref="A75" location="'#72'!Print_Area" display="ID#72" xr:uid="{9FD1F773-0483-4033-8800-4411B217A75E}"/>
    <hyperlink ref="A30" location="'#27'!Print_Area" display="ID#27" xr:uid="{4E06FF99-2F2C-4408-AD99-2172FDC6818A}"/>
    <hyperlink ref="A67" location="'#64'!K10" display="ID#64" xr:uid="{747B7E96-B312-4DDA-AFC7-6056AD8A1369}"/>
    <hyperlink ref="A24" location="'#21'!K10" display="ID#21" xr:uid="{79AAE4EA-CF43-4D2E-AB50-F4251EF4767B}"/>
    <hyperlink ref="A61" location="'#58'!Print_Area" display="ID#58" xr:uid="{665E27F2-93B9-4023-94E9-AC3F23FC5337}"/>
    <hyperlink ref="A66" location="'#63'!Print_Area" display="ID#63" xr:uid="{A3FA5BBD-9220-4433-80F4-43F5297165F5}"/>
    <hyperlink ref="A101" location="'#99'!Print_Area" display="ID#99" xr:uid="{0C1579F1-CF57-4AF2-A7A5-DEBB226EAA72}"/>
    <hyperlink ref="A87" location="'#84'!Print_Area" display="ID#84" xr:uid="{75E22AFD-8623-4136-BA30-E36E0982AC03}"/>
    <hyperlink ref="A88" location="'#85'!Print_Area" display="ID#85" xr:uid="{1B0B9CF4-065F-48DC-A10E-60AF79E1D185}"/>
    <hyperlink ref="A33" location="'#30'!Print_Area" display="ID#30" xr:uid="{BA32D1AB-E62D-4D83-906E-31A6BB47F304}"/>
    <hyperlink ref="A104" location="'#102'!A1" display="ID#102" xr:uid="{834B0284-DE6F-46B1-A58F-B8E25E68C64E}"/>
    <hyperlink ref="A11" location="'#08'!Print_Area" display="ID#08" xr:uid="{3BA3FD64-3374-4CA7-AED2-E4392BBA6AA9}"/>
    <hyperlink ref="A103" location="'#101'!Print_Area" display="ID#101" xr:uid="{AE166301-7E75-4BF9-A728-1635D11F723D}"/>
    <hyperlink ref="A60" location="'#57'!Print_Area" display="ID#57" xr:uid="{DA966C21-16A0-447C-9BD6-89B7763CC394}"/>
    <hyperlink ref="A107" location="'#105'!Print_Area" display="ID#105" xr:uid="{E0F088FD-12D9-468D-843F-76568E61AA83}"/>
    <hyperlink ref="A42" location="'#39'!Print_Area" display="ID#39" xr:uid="{1356E0EB-54CE-41CA-99AD-38DB0143B4EE}"/>
    <hyperlink ref="A105" location="'#103'!Print_Area" display="ID#103" xr:uid="{C071C399-C4A5-4EEC-A185-DF0870AD10AA}"/>
    <hyperlink ref="A110" location="'#108'!Print_Area" display="ID#108" xr:uid="{05E65A34-807A-40A1-AC1C-5F09B6F1E89E}"/>
    <hyperlink ref="A112" location="'#110'!Print_Area" display="ID#110" xr:uid="{261480F2-7D2C-4C9E-9D9B-D70F720D91A1}"/>
    <hyperlink ref="A114" location="'#112'!A1" display="ID#112" xr:uid="{F8979F58-21F2-4E8E-85BF-C219DC471C03}"/>
    <hyperlink ref="A116" location="'#114'!Print_Area" display="ID#114" xr:uid="{63408DD9-0FA1-4FA9-A3C2-0E10890C5CA7}"/>
    <hyperlink ref="A120" location="'#118'!A1" display="ID#118" xr:uid="{20AD1564-7D11-4E67-B2C8-50CA965FF540}"/>
    <hyperlink ref="A121" location="'#119'!Print_Area" display="ID#119" xr:uid="{276F51E1-23DB-4D60-82EF-2DC879BA50AA}"/>
    <hyperlink ref="A122" location="'#120'!A1" display="Id#120" xr:uid="{1650A839-A9AB-410C-8348-23C3675C4BC6}"/>
    <hyperlink ref="A123" location="'#121'!Print_Area" display="ID#121" xr:uid="{E377376A-35D8-4AD9-894E-14AF66202C06}"/>
    <hyperlink ref="A118" location="'#116'!A1" display="id#116" xr:uid="{F0B22B20-0775-49B5-8E43-7665663AAC80}"/>
    <hyperlink ref="A117" location="'#115'!Print_Area" display="ID#115" xr:uid="{97C64319-E51D-433A-8667-EDBAF43830D9}"/>
    <hyperlink ref="A125" location="'#123'!Print_Area" display="ID#123" xr:uid="{34BF8C35-13E2-49E3-A496-37A74327D945}"/>
    <hyperlink ref="A106" location="'#104'!Print_Area" display="ID#104" xr:uid="{6768BEA0-3D7C-462A-BEBC-C9C3BAD2398D}"/>
    <hyperlink ref="A129" location="'#127'!Print_Area" display="ID#127" xr:uid="{0325FC2F-7995-468D-BDCF-A9E68E3C8F5F}"/>
    <hyperlink ref="A130" location="'#128'!Print_Area" display="ID#128" xr:uid="{3A375756-3791-4B80-81A4-8B574C851D9A}"/>
    <hyperlink ref="A131" location="'#129'!A1" display="ID#129" xr:uid="{BE2CE0E4-C98D-494D-A3F1-682C2843831F}"/>
    <hyperlink ref="A124" location="'#122'!A1" display="ID#122" xr:uid="{AF5A4563-29CC-4311-8C13-5C3710E08175}"/>
    <hyperlink ref="A132" location="'#130'!Print_Area" display="ID#130" xr:uid="{DABD54D6-5339-4EB6-BD86-50F23C8041FE}"/>
    <hyperlink ref="A133" location="'#131'!Print_Area" display="ID#131" xr:uid="{63F35451-C7C9-4B3F-9CE8-64737B17457C}"/>
    <hyperlink ref="A126" location="'#124'!Print_Area" display="ID#124" xr:uid="{BF4E786B-C406-4140-9EFF-28CF31CA733F}"/>
    <hyperlink ref="A111" location="'#109'!Print_Area" display="ID#109" xr:uid="{FFF24A39-22E5-4847-AF73-E5AE47EFFD95}"/>
    <hyperlink ref="A138" location="'#136'!Print_Area" display="ID#136" xr:uid="{1EF73119-2EA0-4442-AFCB-072A6FA0CF33}"/>
    <hyperlink ref="A140" location="'#138'!Print_Area" display="ID#138" xr:uid="{CB9D04BC-FDB6-44AB-8496-84F36634BE7C}"/>
    <hyperlink ref="A139" location="'#137'!K10" display="ID#137" xr:uid="{1BF76D18-05C6-4355-ACBD-A23B3BB3FBD1}"/>
    <hyperlink ref="A141" location="'#139'!Print_Area" display="ID#139" xr:uid="{74F2D184-6619-41F2-AA32-5DB65C8A77DF}"/>
    <hyperlink ref="A142" location="'#140'!Print_Area" display="ID#140" xr:uid="{BC9A482F-B4F5-48C0-AF96-F0027D9DAB76}"/>
    <hyperlink ref="A143" location="'#139'!Print_Area" display="ID#139" xr:uid="{DDF03F99-560F-4A20-B90E-B60E869F816E}"/>
    <hyperlink ref="A128" location="'#126'!Print_Area" display="ID#126" xr:uid="{C060FF68-6B77-451B-9AB0-3ECE05BCEF97}"/>
    <hyperlink ref="A49" location="'#46'!Print_Area" display="ID#46" xr:uid="{729679CB-43B1-4473-B1B2-49B7218D5887}"/>
    <hyperlink ref="A144" location="'#142'!Print_Area" display="ID#142" xr:uid="{46A2C86A-254F-4193-A22D-D4184A0E44C0}"/>
    <hyperlink ref="A145" location="'#143'!Print_Area" display="ID#143" xr:uid="{670F9B4C-8F78-41F1-A6BE-9E163C139478}"/>
    <hyperlink ref="A28" location="'#25'!Print_Area" display="ID#25" xr:uid="{65452B3C-12F1-4445-B8F8-A7D26C9C9D4B}"/>
    <hyperlink ref="A134" location="'#132'!K10" display="ID#132" xr:uid="{F6CDF361-C446-4FF9-B237-DCBE0C14CDC1}"/>
    <hyperlink ref="A146" location="'#144'!Print_Area" display="ID#144" xr:uid="{CFC30B43-4F67-4D83-AA76-75E03D647F27}"/>
    <hyperlink ref="A147" location="'#145'!Print_Area" display="ID#145" xr:uid="{406A1D90-F26D-42B2-8BD1-E0AECCFEF5CA}"/>
    <hyperlink ref="A148" location="'#146'!A1" display="ID#146" xr:uid="{52F1C07F-070F-47A0-9284-E12370AD8336}"/>
    <hyperlink ref="A149" location="'#147'!A1" display="ID#147" xr:uid="{FB3D72B9-432D-4698-9EE0-A58D7A12385B}"/>
    <hyperlink ref="A150" location="'#148'!K10" display="ID#148" xr:uid="{C0FF8EBC-70A6-4B07-B087-1BC986F63E77}"/>
    <hyperlink ref="A151" location="'#149'!Print_Area" display="ID#149" xr:uid="{3E2F8809-8D4A-41B6-81DC-C8C9D49734EB}"/>
    <hyperlink ref="A152" location="'#150'!Print_Area" display="ID#150" xr:uid="{C2B5CFBB-8E91-4946-84E0-0145C03DB981}"/>
    <hyperlink ref="A153" location="'#151'!A1" display="ID#151" xr:uid="{DD3C4BA0-1943-4808-9F1D-7507C81089CD}"/>
    <hyperlink ref="A155" location="'#153'!Print_Area" display="ID#153" xr:uid="{DD30097C-9DCA-4DAF-90A9-F74FE7760150}"/>
    <hyperlink ref="A154" location="'#152'!Print_Area" display="ID#152" xr:uid="{ED214A3B-1350-4910-941E-01588FA41684}"/>
    <hyperlink ref="A156" location="'#154'!Print_Area" display="ID#154" xr:uid="{E7CA601C-7C42-4F52-B3BB-27EFFE3775D7}"/>
    <hyperlink ref="A157" location="'#155'!Print_Area" display="ID#155" xr:uid="{7B4A8DF0-4467-44FC-9F31-D6E997A0424D}"/>
    <hyperlink ref="A52" location="'#49'!Print_Area" display="ID#49" xr:uid="{67BE2828-05EC-478A-9EED-F46EFADE101A}"/>
    <hyperlink ref="A59" location="'#56'!Print_Area" display="ID#56" xr:uid="{1B8D0D94-42BE-41DA-BECF-2407AD69826F}"/>
    <hyperlink ref="A161" location="'#159'!Print_Area" display="ID#159" xr:uid="{28E6E0F8-4C19-4C4C-86B3-EB32CC871FA3}"/>
    <hyperlink ref="A162" location="'#160'!Print_Area" display="ID#160" xr:uid="{A49B36B6-BDA9-4769-A0DD-F8615C9DC1C5}"/>
    <hyperlink ref="A160" location="'#158'!Print_Area" display="ID#158" xr:uid="{0F8E334F-C39A-4D50-B87D-B5C180CD9725}"/>
    <hyperlink ref="A159" location="'#157'!Print_Area" display="ID#157" xr:uid="{B5DBEC00-4B30-4627-9281-4B1AE2C1FC28}"/>
    <hyperlink ref="A163" location="'#160'!Print_Area" display="ID#160" xr:uid="{EA0EE99F-9FD9-4CEE-A8D9-BE363957A023}"/>
    <hyperlink ref="A135" location="'#133'!Print_Area" display="ID#133" xr:uid="{20FC2E5C-DDE2-4AC5-84F0-1353CC5B17DF}"/>
    <hyperlink ref="A168" location="'#166'!Print_Area" display="ID#166" xr:uid="{4EE9A063-5F90-436C-BAAC-B4A0AD238C55}"/>
    <hyperlink ref="A167" location="'#165'!Print_Area" display="ID#165" xr:uid="{0135E986-2202-49E7-878E-78CF63AD3A09}"/>
    <hyperlink ref="A184" location="'#182'!A1" display="ID#182" xr:uid="{8198C3CA-AE09-4F94-BAC9-C7822AD5BE80}"/>
    <hyperlink ref="A165" location="'#163'!Print_Area" display="ID#163" xr:uid="{24A5ADBA-CC30-42F9-86EA-8377482363AC}"/>
    <hyperlink ref="A173" location="'#171'!Print_Area" display="ID#171" xr:uid="{EABBBE1C-4173-43CC-A4B1-26E639B3C01D}"/>
    <hyperlink ref="A177" location="'#175'!Print_Area" display="ID#175" xr:uid="{4E196583-7921-433B-87A6-2B504C73A922}"/>
    <hyperlink ref="A183" location="'#181'!Print_Area" display="ID#181" xr:uid="{01626621-C27F-43C5-8294-6E21DBFF6797}"/>
    <hyperlink ref="A181" location="'#179'!Print_Area" display="ID#179" xr:uid="{BB2D12E3-2246-4448-929E-AE2E5D61DA67}"/>
    <hyperlink ref="A185" location="'#183'!Print_Area" display="ID#183" xr:uid="{B25F57C1-BF76-4800-86AB-85471D962F90}"/>
    <hyperlink ref="A170" location="'#168'!Print_Area" display="ID#168" xr:uid="{70244E2C-4483-470D-BE1E-065600A982B4}"/>
    <hyperlink ref="A91" location="'#88'!Print_Area" display="ID#88" xr:uid="{5E353A90-909E-4857-BFDA-4C991DAC3850}"/>
    <hyperlink ref="A187" location="'#185'!Print_Area" display="ID#185" xr:uid="{59D5DA59-E931-4144-A738-C8D1D1BF2FF3}"/>
    <hyperlink ref="A180" location="'#178'!K10" display="ID#178" xr:uid="{339F6472-F595-41E9-96A1-533665D6C610}"/>
    <hyperlink ref="A188" location="'#186'!Print_Area" display="ID#186" xr:uid="{EF7F91CA-F5AE-4132-97D0-96404B8BFD1D}"/>
    <hyperlink ref="A189" location="'#187'!A1" display="ID#187" xr:uid="{9AFCA89B-9B24-46DA-973E-5E4F99E75A05}"/>
    <hyperlink ref="A190" location="'#188'!A1" display="ID#188" xr:uid="{E4FF4021-0700-41B3-A7E9-3D7F7B041FB4}"/>
    <hyperlink ref="A195" location="'#193'!A1" display="ID#193" xr:uid="{60ABAA04-9048-4967-9852-0CB5ECCD0BAA}"/>
    <hyperlink ref="A191" location="'#189'!A1" display="ID#189" xr:uid="{605B7477-13FC-4D8D-8EE9-1DB273DB4216}"/>
    <hyperlink ref="A192" location="'#190'!A1" display="ID#190" xr:uid="{DDA7381A-13DF-4527-8DB3-2892910004AF}"/>
    <hyperlink ref="A193" location="'#191'!A1" display="ID#191" xr:uid="{09DC3DFB-29C4-44FE-BA86-789DCE67D6C2}"/>
    <hyperlink ref="A194" location="'#192'!A1" display="ID#192" xr:uid="{9320115F-E7B9-435D-9C01-905DBBD8FFD7}"/>
    <hyperlink ref="A171" location="'#169'!Print_Area" display="ID#169" xr:uid="{36B0A8BE-CE9B-4263-9406-8B7CCF47769C}"/>
    <hyperlink ref="A196" location="'#194'!A1" display="ID#194" xr:uid="{A5B555BD-C996-4580-A37C-39924E38824F}"/>
    <hyperlink ref="A197" location="'#195'!A1" display="ID#195" xr:uid="{A4173CE3-857A-44A7-8D72-D1C0EDF6DB5B}"/>
    <hyperlink ref="A198" location="'#196'!A1" display="ID#196" xr:uid="{4F2A143E-73F3-4862-A6EA-F13F0652E6E6}"/>
    <hyperlink ref="A199" location="'#197'!A1" display="ID#197" xr:uid="{4111CF0A-652C-458B-A46B-9E6B7EE92BBE}"/>
    <hyperlink ref="A200" location="'#198'!A1" display="ID#198" xr:uid="{2F2C2396-65C9-48DA-9055-BCC029AF14BF}"/>
    <hyperlink ref="A201" location="'#199'!A1" display="ID#199" xr:uid="{1429B1D1-196B-4A9E-AE59-56EAAB48118C}"/>
    <hyperlink ref="A202" location="'#200'!A1" display="ID#200" xr:uid="{C9ACEAAF-C801-4CFE-8C1F-866C593457DE}"/>
    <hyperlink ref="A203" location="'#201'!A1" display="ID#201" xr:uid="{F1C41E1A-E0BC-4661-B233-AF898EEB147E}"/>
    <hyperlink ref="A204" location="'#202'!A1" display="ID#202" xr:uid="{247352B5-EFD4-4496-84A5-9ECF2252344D}"/>
    <hyperlink ref="A205" location="'#203'!A1" display="ID#203" xr:uid="{011F9AEA-0CB6-4A75-9ABB-95E785FF8B18}"/>
    <hyperlink ref="A206" location="'#204'!A1" display="ID#204" xr:uid="{D541291C-BA6B-406C-BCD2-142EE5D4F2AB}"/>
    <hyperlink ref="A207" location="'#205'!A1" display="ID#205" xr:uid="{A8DA0739-F89B-42C1-9E93-C34993E49E18}"/>
    <hyperlink ref="A176" location="'#174'!A1" display="ID#174" xr:uid="{CBECC184-4FB1-49A0-9C81-A8811A70FFE3}"/>
    <hyperlink ref="A208" location="'#206'!A1" display="ID#206" xr:uid="{AFE1A0EB-3145-43E7-940D-4CF7CE5F1EA6}"/>
    <hyperlink ref="A209" location="'#207'!A1" display="ID#207" xr:uid="{A3B509BC-AB66-4152-A4E2-018B2AA8BFCE}"/>
    <hyperlink ref="A210" location="'#208'!A1" display="ID#208" xr:uid="{6D362995-C55B-42D9-A224-4D0B5D89601A}"/>
    <hyperlink ref="A211" location="'#209'!A1" display="ID#209" xr:uid="{EB7E6811-1D17-471C-B312-011CEF39FFAE}"/>
    <hyperlink ref="A212" location="'#210'!K10" display="ID#210" xr:uid="{7270FCE3-6758-4081-BB87-0907AE1115CF}"/>
    <hyperlink ref="A169" location="'#167'!A1" display="ID#167" xr:uid="{880CD786-BB03-4169-9BC7-48080E737541}"/>
    <hyperlink ref="A175" location="'#173'!A1" display="ID#173" xr:uid="{9A821860-9CA3-4A01-8B7D-107A9B1B18F9}"/>
    <hyperlink ref="A213" location="'#211'!A1" display="ID#211" xr:uid="{7D154742-7A7A-436F-ABB4-033DF17832D3}"/>
    <hyperlink ref="A215" location="'#213'!Print_Area" display="ID#213" xr:uid="{A22A1A8E-D063-441A-A59C-9C8FFE7EEA2A}"/>
    <hyperlink ref="A216" location="'#214'!Print_Area" display="ID#214" xr:uid="{BD00AC3C-9CF5-40E8-B98F-D66DAF51BE9A}"/>
    <hyperlink ref="A214" location="'#212'!Print_Area" display="ID#212" xr:uid="{00A5F8A0-C0AE-4324-978E-E0A924ED52C8}"/>
    <hyperlink ref="A174" location="'#172'!A1" display="ID#172" xr:uid="{707215F6-0095-4F40-BC59-A932271319F8}"/>
    <hyperlink ref="A217" location="'#215'!A1" display="ID#215" xr:uid="{B27C3D68-648C-452C-8090-CD5073B19B33}"/>
    <hyperlink ref="A158" location="'#156'!Print_Area" display="ID#156" xr:uid="{330EE958-EAE6-4A39-9A50-BDB9F4D26CC8}"/>
    <hyperlink ref="A25" location="'#22'!Print_Area" display="ID#22" xr:uid="{A69BD224-1858-4C13-A248-8BCE9FC5D2C9}"/>
    <hyperlink ref="A12" location="'#09'!Print_Area" display="ID#09" xr:uid="{FFC1D67A-A7F4-45E9-AB9B-888C124E9DC0}"/>
    <hyperlink ref="A80" location="'#77'!Print_Area" display="ID#77" xr:uid="{715265A4-5592-474F-A324-15BA0DD5979D}"/>
    <hyperlink ref="A115" location="'#113'!Print_Area" display="ID#113" xr:uid="{758ED3F4-62D7-403C-B9F4-DA63E33C7574}"/>
    <hyperlink ref="A119" location="'#117'!Print_Area" display="ID#117" xr:uid="{81972ED2-CF07-451D-8D90-A324DEC242E4}"/>
    <hyperlink ref="A218" location="'#216'!A1" display="ID#216" xr:uid="{7D181349-CACE-426B-A6EB-F2C75DAE3102}"/>
    <hyperlink ref="A89" location="'#86'!Print_Area" display="ID#86" xr:uid="{7FE0023C-7E1D-4DEC-BED5-96430F9808D1}"/>
    <hyperlink ref="A109" location="'#107'!Print_Area" display="ID#107" xr:uid="{D855EDED-5901-4070-88F5-FC6294045637}"/>
    <hyperlink ref="A108" location="'#106'!Print_Area" display="ID#106" xr:uid="{0402ADF4-20B2-41A4-BA2E-47DAFE32DA15}"/>
    <hyperlink ref="A172" location="'#170'!A1" display="ID#170" xr:uid="{9F514F85-CD75-466B-9093-3DF7FC28D587}"/>
    <hyperlink ref="A113" location="'#111'!A1" display="ID#111" xr:uid="{1D0554B2-6066-4345-B5CB-724FCE26283B}"/>
    <hyperlink ref="A219" location="'#217'!A1" display="ID#217" xr:uid="{802B65D9-129B-436C-9535-BC83357E4799}"/>
    <hyperlink ref="A220" location="'#218'!A1" display="ID#218" xr:uid="{9D42EFD7-32AF-4DE0-91CA-6B7913BAB649}"/>
    <hyperlink ref="A221" location="'#219'!A1" display="ID#219" xr:uid="{BF181B20-5AA8-4F48-9080-98FBA3F60695}"/>
    <hyperlink ref="A164" location="'#162'!A1" display="ID#162" xr:uid="{D4E6F91F-FE52-4129-A1F9-D546186DD6E3}"/>
    <hyperlink ref="A50" location="'#47'!A1" display="ID#47" xr:uid="{955023AA-66CA-4BAA-B4CF-7220D27A8920}"/>
    <hyperlink ref="A222" location="'#219'!A1" display="ID#219" xr:uid="{298AC81D-99E8-4166-A75A-993414D2ED45}"/>
    <hyperlink ref="A223" location="'#221'!A1" display="ID#221" xr:uid="{E43864BF-D4A3-4FD1-AD63-6F5EF0BC07F9}"/>
    <hyperlink ref="A224" location="'#222'!A1" display="ID#222" xr:uid="{F436EEC8-6218-4BB0-8F9C-45E929141787}"/>
    <hyperlink ref="A225" location="'#223'!Print_Area" display="ID#223" xr:uid="{B716B74C-2C4C-466F-86C5-65D5432E9311}"/>
    <hyperlink ref="A226" location="'#224'!A1" display="ID#224" xr:uid="{CB0AF527-4223-4CB4-A7A9-2A2A6EC5C5AA}"/>
    <hyperlink ref="A102" location="'#100'!A1" display="ID#100" xr:uid="{77935478-7681-4F40-8382-99E32E23ECBD}"/>
    <hyperlink ref="A178" location="'#176'!A1" display="ID#176" xr:uid="{91585A2D-B09D-4FB4-9AB4-18F05383A010}"/>
    <hyperlink ref="A227" location="'#225'!A1" display="ID#225" xr:uid="{27E3F456-34F5-4D9D-84DD-0FE9D13CF168}"/>
    <hyperlink ref="A228" location="'#226'!A1" display="ID#226" xr:uid="{B90CCE49-1BBA-4E8F-BD0F-C0FAEC9E9595}"/>
    <hyperlink ref="A127" location="'#125'!Print_Area" display="ID#125" xr:uid="{94619B87-586C-4FD0-B030-45884A6AB8D3}"/>
    <hyperlink ref="A229" location="'#227'!A1" display="ID#227" xr:uid="{86C6B093-2C88-4448-9134-BF43A171B1FD}"/>
    <hyperlink ref="A230" location="'#228'!K10" display="ID#228" xr:uid="{550AC48F-EAD8-4362-B84B-E0D744B1D1E8}"/>
    <hyperlink ref="A231" location="'#229'!K10" display="ID#229" xr:uid="{E7E0E409-8C8B-4839-8D5F-3913DD904B7B}"/>
    <hyperlink ref="A232" location="'#230'!K10" display="ID#230" xr:uid="{4D1929DC-9950-4982-BF9C-E348FB3BB145}"/>
    <hyperlink ref="A233" location="'#231'!K10" display="ID#231" xr:uid="{FC0F2DA4-1455-4FE2-ACED-4A59FDBE32FF}"/>
    <hyperlink ref="A234" location="'#232'!K10" display="ID#232" xr:uid="{6639728B-B40E-4236-A51A-E25160E5919E}"/>
    <hyperlink ref="A235" location="'#233'!K10" display="ID#233" xr:uid="{05108D41-3F22-4475-BF62-883DC9E6D832}"/>
    <hyperlink ref="A236" location="'#234'!K10" display="ID#234" xr:uid="{DDD66D87-7A19-4B20-8341-CBD0B96DCB1D}"/>
    <hyperlink ref="A237" location="'#235'!A1" display="ID#235" xr:uid="{011B8758-840F-4C73-AF49-681877AB89E5}"/>
    <hyperlink ref="A238" location="'#236'!K10" display="ID#236" xr:uid="{66B92072-85AF-45AE-B3C6-E7D274629035}"/>
    <hyperlink ref="A239" location="'#237'!K10" display="ID#237" xr:uid="{5A23A90B-6D83-4D72-9296-0496082B0692}"/>
    <hyperlink ref="A240" location="'#238'!K10" display="ID#238" xr:uid="{1AF33193-9436-43AE-8DF9-84A5E14004A8}"/>
    <hyperlink ref="A241" location="'#239'!K10" display="ID#239" xr:uid="{0CD04315-C42C-4B43-91AC-C08C2EAD7729}"/>
    <hyperlink ref="A242" location="'#240'!K10" display="ID#240" xr:uid="{0134417D-5B16-41D7-B300-ECC31AF780A5}"/>
    <hyperlink ref="A243" location="'#241'!K10" display="ID#241" xr:uid="{E128C8F3-2842-4740-B75C-48C0AEE860D9}"/>
    <hyperlink ref="A244" location="'#242'!K10" display="ID#242" xr:uid="{9644F597-821F-4F87-8491-FB9CDA05FB3E}"/>
    <hyperlink ref="A245" location="'#243'!K10" display="ID#243" xr:uid="{E5B553D2-2898-4851-A383-A57BE9E203F4}"/>
    <hyperlink ref="A65" location="'#62'!Print_Area" display="ID#62" xr:uid="{CEAF27B3-290B-4CD1-A44B-AEE046B249F4}"/>
    <hyperlink ref="A246" location="'#244'!K10" display="ID#244" xr:uid="{81215095-600F-4C40-B03B-61456B5FF63E}"/>
    <hyperlink ref="A247" location="'#245'!K10" display="ID#245" xr:uid="{09F67BFB-7DCA-4454-B4B2-2AF3309E442F}"/>
    <hyperlink ref="A248" location="'#246'!A1" display="ID#246" xr:uid="{E512206D-AB54-4AAB-9F12-7CC816AE8E51}"/>
    <hyperlink ref="A249" location="'#247'!K10" display="ID#247" xr:uid="{3639E9B5-38DB-4DD6-8894-8274A335663F}"/>
    <hyperlink ref="A250" location="'#248'!K10" display="ID#248" xr:uid="{09CC4808-8F8A-4705-96DA-0C481645E625}"/>
    <hyperlink ref="A137" location="'#135'!Print_Area" display="ID#135" xr:uid="{401971DF-C727-4CBC-8430-541C9AA23B72}"/>
    <hyperlink ref="A251" location="'#249'!K10" display="ID#249" xr:uid="{B958E6CA-72A4-4C70-9C8B-339B03340AA4}"/>
    <hyperlink ref="A252" location="'#250'!A1" display="ID#250" xr:uid="{3294757A-74B2-4D65-B7E3-83CCE63B0370}"/>
    <hyperlink ref="A253" location="'#251'!K10" display="ID#251" xr:uid="{06593947-93F9-49AE-BCBD-68D03C8911E8}"/>
    <hyperlink ref="A263" location="'#261'!K10" display="ID#261" xr:uid="{6E53E961-3F19-4509-BF38-B1F4208A73A8}"/>
    <hyperlink ref="A254" location="'#252'!K10" display="ID#252" xr:uid="{78DC2DAD-2666-469F-8AB6-CF6D719035F0}"/>
    <hyperlink ref="A166" location="'#164'!A1" display="ID#164" xr:uid="{99E7460C-848A-4B9A-9D2A-78538032252A}"/>
    <hyperlink ref="A255" location="'#253'!K10" display="ID#253" xr:uid="{BB58FF37-48D0-4C04-B917-4AE7883ACC14}"/>
    <hyperlink ref="A256" location="'#254'!K10" display="ID#254" xr:uid="{79637EC1-1790-4840-9914-6CCDC8A9F9EF}"/>
    <hyperlink ref="A257" location="'#255'!K10" display="ID#255" xr:uid="{9070BF74-3C90-46FC-821C-FF9C48BA96E1}"/>
    <hyperlink ref="A260" location="'#255'!K10" display="ID#255" xr:uid="{155EDF01-4AC0-4CD6-A714-30A4F5392A0C}"/>
    <hyperlink ref="A259" location="'#255'!K10" display="ID#255" xr:uid="{650CDC7D-43CC-4458-BD33-94007C102FF0}"/>
    <hyperlink ref="A258" location="'#255'!K10" display="ID#255" xr:uid="{27773802-DB14-4417-AA5D-870E285D2A46}"/>
    <hyperlink ref="A261" location="'#255'!K10" display="ID#255" xr:uid="{87BDC86F-D59D-49E2-86F3-5F246C459ADF}"/>
    <hyperlink ref="A262" location="'#255'!K10" display="ID#255" xr:uid="{70029AA2-F63B-439F-A3E6-84C95F0C0181}"/>
  </hyperlinks>
  <pageMargins left="0.70866141732283472" right="0.31496062992125984" top="0.59055118110236227" bottom="0" header="0.31496062992125984" footer="0.31496062992125984"/>
  <pageSetup paperSize="9" scale="54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830F9-8326-4AEF-9654-CE1DC78FE95A}">
  <sheetPr>
    <tabColor rgb="FF7030A0"/>
    <pageSetUpPr fitToPage="1"/>
  </sheetPr>
  <dimension ref="B1:P43"/>
  <sheetViews>
    <sheetView topLeftCell="B1" workbookViewId="0">
      <selection activeCell="I20" sqref="I20:J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6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6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6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6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6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6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6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6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6" ht="19" thickBot="1" x14ac:dyDescent="0.5">
      <c r="B9" s="18"/>
      <c r="N9" s="469" t="str">
        <f>VLOOKUP(H10,'Delivery Location'!A$4:V$466,2,0)</f>
        <v>TEL: 91548191                                                                                          80 Bendemeer Road #01-01 Singapore 339949</v>
      </c>
      <c r="O9" s="470"/>
      <c r="P9" s="471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110</v>
      </c>
      <c r="J10" s="24" t="s">
        <v>27</v>
      </c>
      <c r="K10" s="464">
        <v>202411254</v>
      </c>
      <c r="L10" s="465"/>
      <c r="N10" s="472"/>
      <c r="O10" s="473"/>
      <c r="P10" s="474"/>
    </row>
    <row r="11" spans="2:16" ht="20.149999999999999" customHeight="1" x14ac:dyDescent="0.45">
      <c r="B11" s="466" t="s">
        <v>681</v>
      </c>
      <c r="C11" s="467"/>
      <c r="D11" s="468"/>
      <c r="E11" s="25"/>
      <c r="F11" s="469" t="str">
        <f>VLOOKUP(H10,'Delivery Location'!A$4:V$466,2,0)</f>
        <v>TEL: 91548191                                                                                          80 Bendemeer Road #01-01 Singapore 339949</v>
      </c>
      <c r="G11" s="470"/>
      <c r="H11" s="471"/>
      <c r="J11" s="26" t="s">
        <v>9</v>
      </c>
      <c r="K11" s="478">
        <v>45607</v>
      </c>
      <c r="L11" s="479"/>
      <c r="N11" s="472"/>
      <c r="O11" s="473"/>
      <c r="P11" s="474"/>
    </row>
    <row r="12" spans="2:16" ht="20.149999999999999" customHeight="1" x14ac:dyDescent="0.45">
      <c r="B12" s="480" t="s">
        <v>682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472"/>
      <c r="O12" s="473"/>
      <c r="P12" s="474"/>
    </row>
    <row r="13" spans="2:16" ht="20.149999999999999" customHeight="1" thickBot="1" x14ac:dyDescent="0.5">
      <c r="B13" s="480"/>
      <c r="C13" s="453"/>
      <c r="D13" s="481"/>
      <c r="E13" s="25"/>
      <c r="F13" s="472"/>
      <c r="G13" s="473"/>
      <c r="H13" s="474"/>
      <c r="J13" s="26" t="s">
        <v>10</v>
      </c>
      <c r="K13" s="482" t="s">
        <v>421</v>
      </c>
      <c r="L13" s="483"/>
      <c r="N13" s="475"/>
      <c r="O13" s="476"/>
      <c r="P13" s="477"/>
    </row>
    <row r="14" spans="2:16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6" ht="18" customHeight="1" thickBot="1" x14ac:dyDescent="0.5">
      <c r="B15" s="50"/>
      <c r="C15" s="51"/>
      <c r="D15" s="52"/>
      <c r="E15" s="21"/>
      <c r="F15" s="475"/>
      <c r="G15" s="476"/>
      <c r="H15" s="477"/>
      <c r="J15" s="27" t="s">
        <v>11</v>
      </c>
      <c r="K15" s="495"/>
      <c r="L15" s="496"/>
    </row>
    <row r="16" spans="2:16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7" t="s">
        <v>386</v>
      </c>
      <c r="I17" s="460" t="s">
        <v>266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798</v>
      </c>
      <c r="D18" s="497" t="str">
        <f>VLOOKUP(C18,'Sales Master'!B$3:D$537,2,)</f>
        <v>Red Tea Jelly Powder 红茶果冻粉</v>
      </c>
      <c r="E18" s="497"/>
      <c r="F18" s="497"/>
      <c r="G18" s="17">
        <v>1</v>
      </c>
      <c r="H18" s="186" t="str">
        <f>VLOOKUP(C18,'Sales Master'!$B$3:$E$537,4,0)</f>
        <v>TAIWAN</v>
      </c>
      <c r="I18" s="522" t="str">
        <f>VLOOKUP(C18,'Sales Master'!$B$3:F$537,5,0)</f>
        <v>1 KG</v>
      </c>
      <c r="J18" s="522"/>
      <c r="K18" s="83">
        <f>VLOOKUP(C18,'Sales Master'!$B$3:$BG$2402,58,0)</f>
        <v>17</v>
      </c>
      <c r="L18" s="64">
        <f>K18*G18</f>
        <v>17</v>
      </c>
      <c r="M18" s="65"/>
      <c r="N18" s="145">
        <f>VLOOKUP(C18,'Sales Master'!$B$3:$DA$2279,104,0)</f>
        <v>11.8</v>
      </c>
      <c r="O18" s="145">
        <f>K18-N18</f>
        <v>5.1999999999999993</v>
      </c>
      <c r="P18" s="145">
        <f>O18*G18</f>
        <v>5.1999999999999993</v>
      </c>
    </row>
    <row r="19" spans="2:16" ht="20.149999999999999" customHeight="1" x14ac:dyDescent="0.45">
      <c r="B19" s="29"/>
      <c r="C19" s="212"/>
      <c r="D19" s="521"/>
      <c r="E19" s="521"/>
      <c r="F19" s="521"/>
      <c r="G19" s="17"/>
      <c r="H19" s="186"/>
      <c r="I19" s="484"/>
      <c r="J19" s="484"/>
      <c r="K19" s="83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87"/>
      <c r="E20" s="487"/>
      <c r="F20" s="487"/>
      <c r="G20" s="17"/>
      <c r="H20" s="56"/>
      <c r="I20" s="458"/>
      <c r="J20" s="458"/>
      <c r="K20" s="30"/>
      <c r="L20" s="64"/>
      <c r="M20" s="65"/>
    </row>
    <row r="21" spans="2:16" ht="20.149999999999999" customHeight="1" x14ac:dyDescent="0.45">
      <c r="B21" s="29"/>
      <c r="C21" s="17"/>
      <c r="D21" s="487"/>
      <c r="E21" s="487"/>
      <c r="F21" s="487"/>
      <c r="G21" s="17"/>
      <c r="H21" s="56"/>
      <c r="I21" s="458"/>
      <c r="J21" s="458"/>
      <c r="K21" s="30"/>
      <c r="L21" s="64"/>
      <c r="M21" s="65"/>
    </row>
    <row r="22" spans="2:16" ht="20.149999999999999" customHeight="1" x14ac:dyDescent="0.45">
      <c r="B22" s="29"/>
      <c r="C22" s="17"/>
      <c r="D22" s="487"/>
      <c r="E22" s="487"/>
      <c r="F22" s="487"/>
      <c r="G22" s="17"/>
      <c r="H22" s="56"/>
      <c r="I22" s="458"/>
      <c r="J22" s="458"/>
      <c r="K22" s="30"/>
      <c r="L22" s="64"/>
      <c r="M22" s="65"/>
    </row>
    <row r="23" spans="2:16" ht="20.149999999999999" customHeight="1" x14ac:dyDescent="0.45">
      <c r="B23" s="29"/>
      <c r="C23" s="17"/>
      <c r="D23" s="487"/>
      <c r="E23" s="487"/>
      <c r="F23" s="487"/>
      <c r="G23" s="17"/>
      <c r="H23" s="56"/>
      <c r="I23" s="458"/>
      <c r="J23" s="458"/>
      <c r="K23" s="30"/>
      <c r="L23" s="64"/>
      <c r="M23" s="65"/>
    </row>
    <row r="24" spans="2:16" ht="20.149999999999999" customHeight="1" x14ac:dyDescent="0.45">
      <c r="B24" s="29"/>
      <c r="C24" s="17"/>
      <c r="D24" s="487"/>
      <c r="E24" s="487"/>
      <c r="F24" s="487"/>
      <c r="G24" s="17"/>
      <c r="H24" s="56"/>
      <c r="I24" s="458"/>
      <c r="J24" s="458"/>
      <c r="K24" s="30"/>
      <c r="L24" s="64"/>
      <c r="M24" s="65"/>
    </row>
    <row r="25" spans="2:16" ht="20.149999999999999" customHeight="1" x14ac:dyDescent="0.45">
      <c r="B25" s="29"/>
      <c r="C25" s="17"/>
      <c r="D25" s="487"/>
      <c r="E25" s="487"/>
      <c r="F25" s="487"/>
      <c r="G25" s="17"/>
      <c r="H25" s="56"/>
      <c r="I25" s="458"/>
      <c r="J25" s="458"/>
      <c r="K25" s="30"/>
      <c r="L25" s="64"/>
      <c r="M25" s="65"/>
    </row>
    <row r="26" spans="2:16" ht="20.149999999999999" customHeight="1" x14ac:dyDescent="0.45">
      <c r="B26" s="29"/>
      <c r="C26" s="198" t="s">
        <v>1862</v>
      </c>
      <c r="D26" s="147"/>
      <c r="E26" s="147"/>
      <c r="F26" s="147"/>
      <c r="G26" s="76"/>
      <c r="H26" s="56"/>
      <c r="I26" s="56"/>
      <c r="J26" s="56"/>
      <c r="K26" s="190"/>
      <c r="L26" s="64"/>
      <c r="M26" s="65"/>
    </row>
    <row r="27" spans="2:16" ht="20.149999999999999" customHeight="1" x14ac:dyDescent="0.45">
      <c r="B27" s="29"/>
      <c r="C27" s="212" t="s">
        <v>1861</v>
      </c>
      <c r="D27" s="520" t="str">
        <f>VLOOKUP(C27,'Sales Master'!B$3:D$537,2,)</f>
        <v>Chin Chow powder 仙草粉</v>
      </c>
      <c r="E27" s="520"/>
      <c r="F27" s="520"/>
      <c r="G27" s="76">
        <v>1</v>
      </c>
      <c r="H27" s="196" t="str">
        <f>VLOOKUP(C27,'Sales Master'!$B$3:$F$2420,5,0)</f>
        <v>2 KG (20 X 100GM)/ Pkt包</v>
      </c>
      <c r="I27" s="513" t="str">
        <f>VLOOKUP(C27,'Sales Master'!$B$3:$E$2420,4,0)</f>
        <v>-</v>
      </c>
      <c r="J27" s="513"/>
      <c r="K27" s="190">
        <v>28</v>
      </c>
      <c r="L27" s="64"/>
      <c r="M27" s="65"/>
    </row>
    <row r="28" spans="2:16" ht="20.149999999999999" customHeight="1" x14ac:dyDescent="0.45">
      <c r="B28" s="29"/>
      <c r="C28" s="17"/>
      <c r="D28" s="487"/>
      <c r="E28" s="487"/>
      <c r="F28" s="487"/>
      <c r="G28" s="17"/>
      <c r="H28" s="56"/>
      <c r="I28" s="458"/>
      <c r="J28" s="458"/>
      <c r="K28" s="30"/>
      <c r="L28" s="31"/>
    </row>
    <row r="29" spans="2:16" ht="20.149999999999999" customHeight="1" thickBot="1" x14ac:dyDescent="0.5">
      <c r="B29" s="32"/>
      <c r="C29" s="33"/>
      <c r="D29" s="488"/>
      <c r="E29" s="488"/>
      <c r="F29" s="488"/>
      <c r="G29" s="33"/>
      <c r="H29" s="57"/>
      <c r="I29" s="459"/>
      <c r="J29" s="459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89" t="s">
        <v>13</v>
      </c>
      <c r="K31" s="490"/>
      <c r="L31" s="38">
        <f>SUM(L17:L29)</f>
        <v>17</v>
      </c>
      <c r="M31" s="63">
        <f>SUM(P18:P28)</f>
        <v>5.1999999999999993</v>
      </c>
      <c r="N31" s="133">
        <f>M31/L31</f>
        <v>0.30588235294117644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91" t="s">
        <v>19</v>
      </c>
      <c r="K33" s="492"/>
      <c r="L33" s="41">
        <f>L31-L32</f>
        <v>17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1.53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85" t="s">
        <v>21</v>
      </c>
      <c r="K35" s="486"/>
      <c r="L35" s="43">
        <f>L33+L34</f>
        <v>18.53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B1:L8"/>
    <mergeCell ref="N9:P13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7:F27"/>
    <mergeCell ref="I27:J27"/>
    <mergeCell ref="J33:K33"/>
    <mergeCell ref="J35:K35"/>
    <mergeCell ref="D28:F28"/>
    <mergeCell ref="I28:J28"/>
    <mergeCell ref="D29:F29"/>
    <mergeCell ref="I29:J29"/>
    <mergeCell ref="J31:K31"/>
  </mergeCells>
  <conditionalFormatting sqref="C26:C27">
    <cfRule type="duplicateValues" dxfId="256" priority="1"/>
  </conditionalFormatting>
  <pageMargins left="0.70866141732283472" right="0.31496062992125984" top="0.59055118110236227" bottom="0" header="0.31496062992125984" footer="0.31496062992125984"/>
  <pageSetup paperSize="9" scale="78" orientation="portrait" horizontalDpi="300" verticalDpi="300" r:id="rId1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30DD7-8B01-40F4-BAFC-4E5293CE40AE}">
  <sheetPr>
    <tabColor rgb="FFFFC000"/>
    <pageSetUpPr fitToPage="1"/>
  </sheetPr>
  <dimension ref="B1:S42"/>
  <sheetViews>
    <sheetView topLeftCell="A9" workbookViewId="0">
      <selection activeCell="G19" sqref="G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1918</v>
      </c>
      <c r="J10" s="24" t="s">
        <v>27</v>
      </c>
      <c r="K10" s="464">
        <v>202404556</v>
      </c>
      <c r="L10" s="465"/>
    </row>
    <row r="11" spans="2:14" ht="20.149999999999999" customHeight="1" x14ac:dyDescent="0.45">
      <c r="B11" s="466" t="s">
        <v>1943</v>
      </c>
      <c r="C11" s="467"/>
      <c r="D11" s="468"/>
      <c r="E11" s="25"/>
      <c r="F11" s="469" t="str">
        <f>VLOOKUP(H10,'Delivery Location'!A$4:N$466,2,0)</f>
        <v xml:space="preserve">Elemen @ Paya Lebar Quarter                  10 Paya Lebar Road #03-13                    Paya Lebar Quarter, Singapore 409057 </v>
      </c>
      <c r="G11" s="470"/>
      <c r="H11" s="471"/>
      <c r="J11" s="26" t="s">
        <v>9</v>
      </c>
      <c r="K11" s="478">
        <v>45404</v>
      </c>
      <c r="L11" s="479"/>
    </row>
    <row r="12" spans="2:14" ht="20.149999999999999" customHeight="1" x14ac:dyDescent="0.45">
      <c r="B12" s="480" t="s">
        <v>1307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19" t="s">
        <v>1309</v>
      </c>
    </row>
    <row r="13" spans="2:14" ht="20.149999999999999" customHeight="1" x14ac:dyDescent="0.45">
      <c r="B13" s="480" t="s">
        <v>1221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730</v>
      </c>
    </row>
    <row r="14" spans="2:14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9" ht="20.149999999999999" customHeight="1" x14ac:dyDescent="0.45">
      <c r="B18" s="29"/>
      <c r="C18" s="212" t="s">
        <v>1917</v>
      </c>
      <c r="D18" s="487" t="str">
        <f>VLOOKUP(C18,'Sales Master'!B$3:D$537,2,)</f>
        <v>Lemongrass Flavour Aiyu Jelly</v>
      </c>
      <c r="E18" s="487"/>
      <c r="F18" s="487"/>
      <c r="G18" s="76">
        <v>6</v>
      </c>
      <c r="H18" s="186" t="str">
        <f>VLOOKUP(C18,'Sales Master'!$B$3:$F$2488,5,0)</f>
        <v>GW 1 KG/ BOX</v>
      </c>
      <c r="I18" s="484" t="str">
        <f>VLOOKUP(C18,'Sales Master'!$B$3:$E$2488,4,0)</f>
        <v>DO!</v>
      </c>
      <c r="J18" s="484"/>
      <c r="K18" s="30">
        <f>VLOOKUP(C18,'Sales Master'!B$3:CK$537,88,0)</f>
        <v>4.8</v>
      </c>
      <c r="L18" s="64">
        <f>K18*G18</f>
        <v>28.799999999999997</v>
      </c>
      <c r="M18" s="65"/>
      <c r="N18" s="145">
        <f>VLOOKUP(C18,'Sales Master'!$B$3:$DA$2279,104,0)</f>
        <v>0</v>
      </c>
      <c r="O18" s="145">
        <f>K18-N18</f>
        <v>4.8</v>
      </c>
      <c r="P18" s="145">
        <f>O18*G18</f>
        <v>28.799999999999997</v>
      </c>
    </row>
    <row r="19" spans="2:19" ht="20.149999999999999" customHeight="1" x14ac:dyDescent="0.45">
      <c r="B19" s="29"/>
      <c r="C19" s="212"/>
      <c r="D19" s="487"/>
      <c r="E19" s="487"/>
      <c r="F19" s="487"/>
      <c r="G19" s="76"/>
      <c r="H19" s="186"/>
      <c r="I19" s="484"/>
      <c r="J19" s="484"/>
      <c r="K19" s="525"/>
      <c r="L19" s="526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2"/>
      <c r="D20" s="487"/>
      <c r="E20" s="487"/>
      <c r="F20" s="487"/>
      <c r="G20" s="76"/>
      <c r="H20" s="186"/>
      <c r="I20" s="484"/>
      <c r="J20" s="484"/>
      <c r="K20" s="525"/>
      <c r="L20" s="526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87"/>
      <c r="E21" s="487"/>
      <c r="F21" s="487"/>
      <c r="G21" s="76"/>
      <c r="H21" s="56"/>
      <c r="I21" s="494"/>
      <c r="J21" s="494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87"/>
      <c r="E22" s="487"/>
      <c r="F22" s="487"/>
      <c r="G22" s="76"/>
      <c r="H22" s="56"/>
      <c r="I22" s="494"/>
      <c r="J22" s="494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87"/>
      <c r="E26" s="487"/>
      <c r="F26" s="487"/>
      <c r="G26" s="76"/>
      <c r="H26" s="165"/>
      <c r="I26" s="494"/>
      <c r="J26" s="494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488"/>
      <c r="E28" s="488"/>
      <c r="F28" s="488"/>
      <c r="G28" s="33"/>
      <c r="H28" s="57"/>
      <c r="I28" s="459"/>
      <c r="J28" s="459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SUM(L14:L28)</f>
        <v>28.799999999999997</v>
      </c>
      <c r="M30" s="63">
        <f>SUM(P18:P28)</f>
        <v>28.799999999999997</v>
      </c>
      <c r="N30" s="133">
        <f>M30/L30</f>
        <v>1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28.799999999999997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2.5919999999999996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31.391999999999996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D28:F28"/>
    <mergeCell ref="I28:J28"/>
    <mergeCell ref="J30:K30"/>
    <mergeCell ref="J32:K32"/>
    <mergeCell ref="J34:K34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4930F-98B7-4D95-B7D4-CB70C704DAB2}">
  <sheetPr>
    <tabColor rgb="FFFFC000"/>
    <pageSetUpPr fitToPage="1"/>
  </sheetPr>
  <dimension ref="B1:S42"/>
  <sheetViews>
    <sheetView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1919</v>
      </c>
      <c r="J10" s="24" t="s">
        <v>27</v>
      </c>
      <c r="K10" s="464">
        <v>202405452</v>
      </c>
      <c r="L10" s="465"/>
    </row>
    <row r="11" spans="2:14" ht="20.149999999999999" customHeight="1" x14ac:dyDescent="0.45">
      <c r="B11" s="466" t="s">
        <v>1943</v>
      </c>
      <c r="C11" s="467"/>
      <c r="D11" s="468"/>
      <c r="E11" s="25"/>
      <c r="F11" s="469" t="str">
        <f>VLOOKUP(H10,'Delivery Location'!A$4:N$466,2,0)</f>
        <v xml:space="preserve">Elemen @ Millenia Walk                            9 Raffles Boulevard, Millenia Walk    #01-75/75A/76 Singapore 039596 </v>
      </c>
      <c r="G11" s="470"/>
      <c r="H11" s="471"/>
      <c r="J11" s="26" t="s">
        <v>9</v>
      </c>
      <c r="K11" s="478">
        <v>45432</v>
      </c>
      <c r="L11" s="479"/>
    </row>
    <row r="12" spans="2:14" ht="20.149999999999999" customHeight="1" x14ac:dyDescent="0.45">
      <c r="B12" s="480" t="s">
        <v>1307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19" t="s">
        <v>1309</v>
      </c>
    </row>
    <row r="13" spans="2:14" ht="20.149999999999999" customHeight="1" x14ac:dyDescent="0.45">
      <c r="B13" s="480" t="s">
        <v>1221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730</v>
      </c>
    </row>
    <row r="14" spans="2:14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9" ht="20.149999999999999" customHeight="1" x14ac:dyDescent="0.45">
      <c r="B18" s="29"/>
      <c r="C18" s="212" t="s">
        <v>1917</v>
      </c>
      <c r="D18" s="487" t="str">
        <f>VLOOKUP(C18,'Sales Master'!B$3:D$537,2,)</f>
        <v>Lemongrass Flavour Aiyu Jelly</v>
      </c>
      <c r="E18" s="487"/>
      <c r="F18" s="487"/>
      <c r="G18" s="76">
        <v>5</v>
      </c>
      <c r="H18" s="186" t="str">
        <f>VLOOKUP(C18,'Sales Master'!$B$3:$F$2488,5,0)</f>
        <v>GW 1 KG/ BOX</v>
      </c>
      <c r="I18" s="484" t="str">
        <f>VLOOKUP(C18,'Sales Master'!$B$3:$E$2488,4,0)</f>
        <v>DO!</v>
      </c>
      <c r="J18" s="484"/>
      <c r="K18" s="30">
        <f>VLOOKUP(C18,'Sales Master'!B$3:CK$537,88,0)</f>
        <v>4.8</v>
      </c>
      <c r="L18" s="64">
        <f>K18*G18</f>
        <v>24</v>
      </c>
      <c r="M18" s="65"/>
      <c r="N18" s="145">
        <f>VLOOKUP(C18,'Sales Master'!$B$3:$DA$2279,104,0)</f>
        <v>0</v>
      </c>
      <c r="O18" s="145">
        <f>K18-N18</f>
        <v>4.8</v>
      </c>
      <c r="P18" s="145">
        <f>O18*G18</f>
        <v>24</v>
      </c>
    </row>
    <row r="19" spans="2:19" ht="20.149999999999999" customHeight="1" x14ac:dyDescent="0.45">
      <c r="B19" s="29"/>
      <c r="C19" s="212"/>
      <c r="D19" s="487"/>
      <c r="E19" s="487"/>
      <c r="F19" s="487"/>
      <c r="G19" s="76"/>
      <c r="H19" s="186"/>
      <c r="I19" s="484"/>
      <c r="J19" s="484"/>
      <c r="K19" s="525"/>
      <c r="L19" s="526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2"/>
      <c r="D20" s="487"/>
      <c r="E20" s="487"/>
      <c r="F20" s="487"/>
      <c r="G20" s="76"/>
      <c r="H20" s="186"/>
      <c r="I20" s="484"/>
      <c r="J20" s="484"/>
      <c r="K20" s="525"/>
      <c r="L20" s="526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87"/>
      <c r="E21" s="487"/>
      <c r="F21" s="487"/>
      <c r="G21" s="76"/>
      <c r="H21" s="56"/>
      <c r="I21" s="494"/>
      <c r="J21" s="494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87"/>
      <c r="E22" s="487"/>
      <c r="F22" s="487"/>
      <c r="G22" s="76"/>
      <c r="H22" s="56"/>
      <c r="I22" s="494"/>
      <c r="J22" s="494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87"/>
      <c r="E26" s="487"/>
      <c r="F26" s="487"/>
      <c r="G26" s="76"/>
      <c r="H26" s="165"/>
      <c r="I26" s="494"/>
      <c r="J26" s="494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488"/>
      <c r="E28" s="488"/>
      <c r="F28" s="488"/>
      <c r="G28" s="33"/>
      <c r="H28" s="57"/>
      <c r="I28" s="459"/>
      <c r="J28" s="459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SUM(L14:L28)</f>
        <v>24</v>
      </c>
      <c r="M30" s="63">
        <f>SUM(P18:P28)</f>
        <v>24</v>
      </c>
      <c r="N30" s="133">
        <f>M30/L30</f>
        <v>1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24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2.16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26.16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D28:F28"/>
    <mergeCell ref="I28:J28"/>
    <mergeCell ref="J30:K30"/>
    <mergeCell ref="J32:K32"/>
    <mergeCell ref="J34:K34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6CEB0-9BCB-4A09-BF09-61789FE022E2}">
  <sheetPr>
    <tabColor rgb="FFFFC000"/>
    <pageSetUpPr fitToPage="1"/>
  </sheetPr>
  <dimension ref="B1:S42"/>
  <sheetViews>
    <sheetView topLeftCell="B12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1920</v>
      </c>
      <c r="J10" s="24" t="s">
        <v>27</v>
      </c>
      <c r="K10" s="464">
        <v>202404381</v>
      </c>
      <c r="L10" s="465"/>
    </row>
    <row r="11" spans="2:14" ht="20.149999999999999" customHeight="1" x14ac:dyDescent="0.45">
      <c r="B11" s="466" t="s">
        <v>1943</v>
      </c>
      <c r="C11" s="467"/>
      <c r="D11" s="468"/>
      <c r="E11" s="25"/>
      <c r="F11" s="469" t="str">
        <f>VLOOKUP(H10,'Delivery Location'!A$4:N$466,2,0)</f>
        <v xml:space="preserve">Elemen @ Great World City                         1 Kim Seng Promenade, #01-122,       Great World City, Singapore 237994 </v>
      </c>
      <c r="G11" s="470"/>
      <c r="H11" s="471"/>
      <c r="J11" s="26" t="s">
        <v>9</v>
      </c>
      <c r="K11" s="478">
        <v>45395</v>
      </c>
      <c r="L11" s="479"/>
    </row>
    <row r="12" spans="2:14" ht="20.149999999999999" customHeight="1" x14ac:dyDescent="0.45">
      <c r="B12" s="480" t="s">
        <v>1307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19" t="s">
        <v>1309</v>
      </c>
    </row>
    <row r="13" spans="2:14" ht="20.149999999999999" customHeight="1" x14ac:dyDescent="0.45">
      <c r="B13" s="480" t="s">
        <v>1221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730</v>
      </c>
    </row>
    <row r="14" spans="2:14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9" ht="20.149999999999999" customHeight="1" x14ac:dyDescent="0.45">
      <c r="B18" s="29"/>
      <c r="C18" s="212" t="s">
        <v>1917</v>
      </c>
      <c r="D18" s="487" t="str">
        <f>VLOOKUP(C18,'Sales Master'!B$3:D$537,2,)</f>
        <v>Lemongrass Flavour Aiyu Jelly</v>
      </c>
      <c r="E18" s="487"/>
      <c r="F18" s="487"/>
      <c r="G18" s="76">
        <v>5</v>
      </c>
      <c r="H18" s="186" t="str">
        <f>VLOOKUP(C18,'Sales Master'!$B$3:$F$2488,5,0)</f>
        <v>GW 1 KG/ BOX</v>
      </c>
      <c r="I18" s="484" t="str">
        <f>VLOOKUP(C18,'Sales Master'!$B$3:$E$2488,4,0)</f>
        <v>DO!</v>
      </c>
      <c r="J18" s="484"/>
      <c r="K18" s="30">
        <f>VLOOKUP(C18,'Sales Master'!B$3:CK$537,88,0)</f>
        <v>4.8</v>
      </c>
      <c r="L18" s="64">
        <f>K18*G18</f>
        <v>24</v>
      </c>
      <c r="M18" s="65"/>
      <c r="N18" s="145">
        <f>VLOOKUP(C18,'Sales Master'!$B$3:$DA$2279,104,0)</f>
        <v>0</v>
      </c>
      <c r="O18" s="145">
        <f>K18-N18</f>
        <v>4.8</v>
      </c>
      <c r="P18" s="145">
        <f>O18*G18</f>
        <v>24</v>
      </c>
    </row>
    <row r="19" spans="2:19" ht="20.149999999999999" customHeight="1" x14ac:dyDescent="0.45">
      <c r="B19" s="29"/>
      <c r="C19" s="212"/>
      <c r="D19" s="487"/>
      <c r="E19" s="487"/>
      <c r="F19" s="487"/>
      <c r="G19" s="76"/>
      <c r="H19" s="186"/>
      <c r="I19" s="484"/>
      <c r="J19" s="484"/>
      <c r="K19" s="525"/>
      <c r="L19" s="526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2"/>
      <c r="D20" s="487"/>
      <c r="E20" s="487"/>
      <c r="F20" s="487"/>
      <c r="G20" s="76"/>
      <c r="H20" s="186"/>
      <c r="I20" s="484"/>
      <c r="J20" s="484"/>
      <c r="K20" s="525"/>
      <c r="L20" s="526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87"/>
      <c r="E21" s="487"/>
      <c r="F21" s="487"/>
      <c r="G21" s="76"/>
      <c r="H21" s="56"/>
      <c r="I21" s="494"/>
      <c r="J21" s="494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87"/>
      <c r="E22" s="487"/>
      <c r="F22" s="487"/>
      <c r="G22" s="76"/>
      <c r="H22" s="56"/>
      <c r="I22" s="494"/>
      <c r="J22" s="494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87"/>
      <c r="E26" s="487"/>
      <c r="F26" s="487"/>
      <c r="G26" s="76"/>
      <c r="H26" s="165"/>
      <c r="I26" s="494"/>
      <c r="J26" s="494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488"/>
      <c r="E28" s="488"/>
      <c r="F28" s="488"/>
      <c r="G28" s="33"/>
      <c r="H28" s="57"/>
      <c r="I28" s="459"/>
      <c r="J28" s="459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SUM(L14:L28)</f>
        <v>24</v>
      </c>
      <c r="M30" s="63">
        <f>SUM(P18:P28)</f>
        <v>24</v>
      </c>
      <c r="N30" s="133">
        <f>M30/L30</f>
        <v>1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24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2.16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26.16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D28:F28"/>
    <mergeCell ref="I28:J28"/>
    <mergeCell ref="J30:K30"/>
    <mergeCell ref="J32:K32"/>
    <mergeCell ref="J34:K34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82F75-222E-4765-A077-11745CBE99BF}">
  <sheetPr>
    <tabColor rgb="FFFFC000"/>
    <pageSetUpPr fitToPage="1"/>
  </sheetPr>
  <dimension ref="B1:S42"/>
  <sheetViews>
    <sheetView topLeftCell="A12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1921</v>
      </c>
      <c r="J10" s="24" t="s">
        <v>27</v>
      </c>
      <c r="K10" s="464">
        <v>202404564</v>
      </c>
      <c r="L10" s="465"/>
    </row>
    <row r="11" spans="2:14" ht="20.149999999999999" customHeight="1" x14ac:dyDescent="0.45">
      <c r="B11" s="466" t="s">
        <v>1943</v>
      </c>
      <c r="C11" s="467"/>
      <c r="D11" s="468"/>
      <c r="E11" s="25"/>
      <c r="F11" s="469" t="str">
        <f>VLOOKUP(H10,'Delivery Location'!A$4:N$466,2,0)</f>
        <v>Elemen @ Harbourfront Centre                  1 Maritime Square, #02-85                Singapore 099253</v>
      </c>
      <c r="G11" s="470"/>
      <c r="H11" s="471"/>
      <c r="J11" s="26" t="s">
        <v>9</v>
      </c>
      <c r="K11" s="478">
        <v>45405</v>
      </c>
      <c r="L11" s="479"/>
    </row>
    <row r="12" spans="2:14" ht="20.149999999999999" customHeight="1" x14ac:dyDescent="0.45">
      <c r="B12" s="480" t="s">
        <v>1307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19" t="s">
        <v>1309</v>
      </c>
    </row>
    <row r="13" spans="2:14" ht="20.149999999999999" customHeight="1" x14ac:dyDescent="0.45">
      <c r="B13" s="480" t="s">
        <v>1221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730</v>
      </c>
    </row>
    <row r="14" spans="2:14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9" ht="20.149999999999999" customHeight="1" x14ac:dyDescent="0.45">
      <c r="B18" s="29"/>
      <c r="C18" s="212" t="s">
        <v>1917</v>
      </c>
      <c r="D18" s="487" t="str">
        <f>VLOOKUP(C18,'Sales Master'!B$3:D$537,2,)</f>
        <v>Lemongrass Flavour Aiyu Jelly</v>
      </c>
      <c r="E18" s="487"/>
      <c r="F18" s="487"/>
      <c r="G18" s="76">
        <v>6</v>
      </c>
      <c r="H18" s="186" t="str">
        <f>VLOOKUP(C18,'Sales Master'!$B$3:$F$2488,5,0)</f>
        <v>GW 1 KG/ BOX</v>
      </c>
      <c r="I18" s="484" t="str">
        <f>VLOOKUP(C18,'Sales Master'!$B$3:$E$2488,4,0)</f>
        <v>DO!</v>
      </c>
      <c r="J18" s="484"/>
      <c r="K18" s="30">
        <f>VLOOKUP(C18,'Sales Master'!B$3:CK$537,88,0)</f>
        <v>4.8</v>
      </c>
      <c r="L18" s="64">
        <f>K18*G18</f>
        <v>28.799999999999997</v>
      </c>
      <c r="M18" s="65"/>
      <c r="N18" s="145">
        <f>VLOOKUP(C18,'Sales Master'!$B$3:$DA$2279,104,0)</f>
        <v>0</v>
      </c>
      <c r="O18" s="145">
        <f>K18-N18</f>
        <v>4.8</v>
      </c>
      <c r="P18" s="145">
        <f>O18*G18</f>
        <v>28.799999999999997</v>
      </c>
    </row>
    <row r="19" spans="2:19" ht="20.149999999999999" customHeight="1" x14ac:dyDescent="0.45">
      <c r="B19" s="29"/>
      <c r="C19" s="212"/>
      <c r="D19" s="487"/>
      <c r="E19" s="487"/>
      <c r="F19" s="487"/>
      <c r="G19" s="76"/>
      <c r="H19" s="186"/>
      <c r="I19" s="484"/>
      <c r="J19" s="484"/>
      <c r="K19" s="525"/>
      <c r="L19" s="526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2"/>
      <c r="D20" s="487"/>
      <c r="E20" s="487"/>
      <c r="F20" s="487"/>
      <c r="G20" s="76"/>
      <c r="H20" s="186"/>
      <c r="I20" s="484"/>
      <c r="J20" s="484"/>
      <c r="K20" s="525"/>
      <c r="L20" s="526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87"/>
      <c r="E21" s="487"/>
      <c r="F21" s="487"/>
      <c r="G21" s="76"/>
      <c r="H21" s="56"/>
      <c r="I21" s="494"/>
      <c r="J21" s="494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87"/>
      <c r="E22" s="487"/>
      <c r="F22" s="487"/>
      <c r="G22" s="76"/>
      <c r="H22" s="56"/>
      <c r="I22" s="494"/>
      <c r="J22" s="494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87"/>
      <c r="E26" s="487"/>
      <c r="F26" s="487"/>
      <c r="G26" s="76"/>
      <c r="H26" s="165"/>
      <c r="I26" s="494"/>
      <c r="J26" s="494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488"/>
      <c r="E28" s="488"/>
      <c r="F28" s="488"/>
      <c r="G28" s="33"/>
      <c r="H28" s="57"/>
      <c r="I28" s="459"/>
      <c r="J28" s="459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SUM(L14:L28)</f>
        <v>28.799999999999997</v>
      </c>
      <c r="M30" s="63">
        <f>SUM(P18:P28)</f>
        <v>28.799999999999997</v>
      </c>
      <c r="N30" s="133">
        <f>M30/L30</f>
        <v>1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28.799999999999997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2.5919999999999996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31.391999999999996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D28:F28"/>
    <mergeCell ref="I28:J28"/>
    <mergeCell ref="J30:K30"/>
    <mergeCell ref="J32:K32"/>
    <mergeCell ref="J34:K34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9BDCB-F4D9-425E-ABED-F6140D594751}">
  <sheetPr>
    <tabColor rgb="FFFFC000"/>
    <pageSetUpPr fitToPage="1"/>
  </sheetPr>
  <dimension ref="B1:S42"/>
  <sheetViews>
    <sheetView topLeftCell="A8" workbookViewId="0">
      <selection activeCell="K18" sqref="K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1922</v>
      </c>
      <c r="J10" s="24" t="s">
        <v>27</v>
      </c>
      <c r="K10" s="464">
        <v>202403591</v>
      </c>
      <c r="L10" s="465"/>
    </row>
    <row r="11" spans="2:14" ht="20.149999999999999" customHeight="1" x14ac:dyDescent="0.45">
      <c r="B11" s="466" t="s">
        <v>1943</v>
      </c>
      <c r="C11" s="467"/>
      <c r="D11" s="468"/>
      <c r="E11" s="25"/>
      <c r="F11" s="469" t="str">
        <f>VLOOKUP(H10,'Delivery Location'!A$4:N$466,2,0)</f>
        <v>Elemen @ Koufu HQ                                      1 Woodlands Height #01-02 Singapore 737859</v>
      </c>
      <c r="G11" s="470"/>
      <c r="H11" s="471"/>
      <c r="J11" s="26" t="s">
        <v>9</v>
      </c>
      <c r="K11" s="478">
        <v>45377</v>
      </c>
      <c r="L11" s="479"/>
    </row>
    <row r="12" spans="2:14" ht="20.149999999999999" customHeight="1" x14ac:dyDescent="0.45">
      <c r="B12" s="480" t="s">
        <v>1307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19" t="s">
        <v>1309</v>
      </c>
    </row>
    <row r="13" spans="2:14" ht="20.149999999999999" customHeight="1" x14ac:dyDescent="0.45">
      <c r="B13" s="480" t="s">
        <v>1221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730</v>
      </c>
    </row>
    <row r="14" spans="2:14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9" ht="20.149999999999999" customHeight="1" x14ac:dyDescent="0.45">
      <c r="B18" s="29"/>
      <c r="C18" s="212" t="s">
        <v>1917</v>
      </c>
      <c r="D18" s="487" t="str">
        <f>VLOOKUP(C18,'Sales Master'!B$3:D$537,2,)</f>
        <v>Lemongrass Flavour Aiyu Jelly</v>
      </c>
      <c r="E18" s="487"/>
      <c r="F18" s="487"/>
      <c r="G18" s="76">
        <v>6</v>
      </c>
      <c r="H18" s="186" t="str">
        <f>VLOOKUP(C18,'Sales Master'!$B$3:$F$2488,5,0)</f>
        <v>GW 1 KG/ BOX</v>
      </c>
      <c r="I18" s="484" t="str">
        <f>VLOOKUP(C18,'Sales Master'!$B$3:$E$2488,4,0)</f>
        <v>DO!</v>
      </c>
      <c r="J18" s="484"/>
      <c r="K18" s="30">
        <f>VLOOKUP(C18,'Sales Master'!B$3:CK$537,88,0)</f>
        <v>4.8</v>
      </c>
      <c r="L18" s="64">
        <f>K18*G18</f>
        <v>28.799999999999997</v>
      </c>
      <c r="M18" s="65"/>
      <c r="N18" s="145">
        <f>VLOOKUP(C18,'Sales Master'!$B$3:$DA$2279,104,0)</f>
        <v>0</v>
      </c>
      <c r="O18" s="145">
        <f>K18-N18</f>
        <v>4.8</v>
      </c>
      <c r="P18" s="145">
        <f>O18*G18</f>
        <v>28.799999999999997</v>
      </c>
    </row>
    <row r="19" spans="2:19" ht="20.149999999999999" customHeight="1" x14ac:dyDescent="0.45">
      <c r="B19" s="29"/>
      <c r="C19" s="212"/>
      <c r="D19" s="487"/>
      <c r="E19" s="487"/>
      <c r="F19" s="487"/>
      <c r="G19" s="76"/>
      <c r="H19" s="186"/>
      <c r="I19" s="484"/>
      <c r="J19" s="484"/>
      <c r="K19" s="525"/>
      <c r="L19" s="526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2"/>
      <c r="D20" s="487"/>
      <c r="E20" s="487"/>
      <c r="F20" s="487"/>
      <c r="G20" s="76"/>
      <c r="H20" s="186"/>
      <c r="I20" s="484"/>
      <c r="J20" s="484"/>
      <c r="K20" s="525"/>
      <c r="L20" s="526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87"/>
      <c r="E21" s="487"/>
      <c r="F21" s="487"/>
      <c r="G21" s="76"/>
      <c r="H21" s="56"/>
      <c r="I21" s="494"/>
      <c r="J21" s="494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87"/>
      <c r="E22" s="487"/>
      <c r="F22" s="487"/>
      <c r="G22" s="76"/>
      <c r="H22" s="56"/>
      <c r="I22" s="494"/>
      <c r="J22" s="494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87"/>
      <c r="E26" s="487"/>
      <c r="F26" s="487"/>
      <c r="G26" s="76"/>
      <c r="H26" s="165"/>
      <c r="I26" s="494"/>
      <c r="J26" s="494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488"/>
      <c r="E28" s="488"/>
      <c r="F28" s="488"/>
      <c r="G28" s="33"/>
      <c r="H28" s="57"/>
      <c r="I28" s="459"/>
      <c r="J28" s="459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SUM(L14:L28)</f>
        <v>28.799999999999997</v>
      </c>
      <c r="M30" s="63">
        <f>SUM(P18:P28)</f>
        <v>28.799999999999997</v>
      </c>
      <c r="N30" s="133">
        <f>M30/L30</f>
        <v>1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28.799999999999997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2.5919999999999996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31.391999999999996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D28:F28"/>
    <mergeCell ref="I28:J28"/>
    <mergeCell ref="J30:K30"/>
    <mergeCell ref="J32:K32"/>
    <mergeCell ref="J34:K34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EA15A-9BEB-494F-8C98-7CBD5DBD68BE}">
  <sheetPr>
    <tabColor rgb="FFFFC000"/>
    <pageSetUpPr fitToPage="1"/>
  </sheetPr>
  <dimension ref="B1:S42"/>
  <sheetViews>
    <sheetView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1948</v>
      </c>
      <c r="J10" s="24" t="s">
        <v>27</v>
      </c>
      <c r="K10" s="464">
        <v>202404085</v>
      </c>
      <c r="L10" s="465"/>
    </row>
    <row r="11" spans="2:14" ht="20.149999999999999" customHeight="1" x14ac:dyDescent="0.45">
      <c r="B11" s="466" t="s">
        <v>1949</v>
      </c>
      <c r="C11" s="467"/>
      <c r="D11" s="468"/>
      <c r="E11" s="25"/>
      <c r="F11" s="469" t="str">
        <f>VLOOKUP(H10,'Delivery Location'!A$4:N$466,2,0)</f>
        <v>NINE FRESH                                                       8A Admiralty Street                              Food Exchange #02-29                     Singapore 757437</v>
      </c>
      <c r="G11" s="470"/>
      <c r="H11" s="471"/>
      <c r="J11" s="26" t="s">
        <v>9</v>
      </c>
      <c r="K11" s="478">
        <v>45384</v>
      </c>
      <c r="L11" s="479"/>
    </row>
    <row r="12" spans="2:14" ht="20.149999999999999" customHeight="1" x14ac:dyDescent="0.45">
      <c r="B12" s="480" t="s">
        <v>1307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19" t="s">
        <v>1309</v>
      </c>
    </row>
    <row r="13" spans="2:14" ht="20.149999999999999" customHeight="1" x14ac:dyDescent="0.45">
      <c r="B13" s="480" t="s">
        <v>1221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730</v>
      </c>
    </row>
    <row r="14" spans="2:14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9" ht="20.149999999999999" customHeight="1" x14ac:dyDescent="0.45">
      <c r="B18" s="29"/>
      <c r="C18" s="212" t="s">
        <v>854</v>
      </c>
      <c r="D18" s="487" t="str">
        <f>VLOOKUP(C18,'Sales Master'!B$3:D$537,2,)</f>
        <v>Small Sago 小丸</v>
      </c>
      <c r="E18" s="487"/>
      <c r="F18" s="487"/>
      <c r="G18" s="76">
        <v>50</v>
      </c>
      <c r="H18" s="186" t="str">
        <f>VLOOKUP(C18,'Sales Master'!$B$3:$F$2488,5,0)</f>
        <v>1 KG</v>
      </c>
      <c r="I18" s="484" t="str">
        <f>VLOOKUP(C18,'Sales Master'!$B$3:$E$2488,4,0)</f>
        <v>-</v>
      </c>
      <c r="J18" s="484"/>
      <c r="K18" s="30">
        <f>VLOOKUP(C18,'Sales Master'!B$3:CJ$537,87,0)</f>
        <v>2.1</v>
      </c>
      <c r="L18" s="64">
        <f>K18*G18</f>
        <v>105</v>
      </c>
      <c r="M18" s="65"/>
      <c r="N18" s="145">
        <f>VLOOKUP(C18,'Sales Master'!$B$3:$DA$2279,104,0)</f>
        <v>1.4666666666666666</v>
      </c>
      <c r="O18" s="145">
        <f>K18-N18</f>
        <v>0.63333333333333353</v>
      </c>
      <c r="P18" s="145">
        <f>O18*G18</f>
        <v>31.666666666666675</v>
      </c>
    </row>
    <row r="19" spans="2:19" ht="20.149999999999999" customHeight="1" x14ac:dyDescent="0.45">
      <c r="B19" s="29"/>
      <c r="C19" s="212"/>
      <c r="D19" s="487"/>
      <c r="E19" s="487"/>
      <c r="F19" s="487"/>
      <c r="G19" s="76"/>
      <c r="H19" s="186"/>
      <c r="I19" s="484"/>
      <c r="J19" s="484"/>
      <c r="K19" s="525"/>
      <c r="L19" s="526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2"/>
      <c r="D20" s="487"/>
      <c r="E20" s="487"/>
      <c r="F20" s="487"/>
      <c r="G20" s="76"/>
      <c r="H20" s="186"/>
      <c r="I20" s="484"/>
      <c r="J20" s="484"/>
      <c r="K20" s="525"/>
      <c r="L20" s="526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87"/>
      <c r="E21" s="487"/>
      <c r="F21" s="487"/>
      <c r="G21" s="76"/>
      <c r="H21" s="56"/>
      <c r="I21" s="494"/>
      <c r="J21" s="494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87"/>
      <c r="E22" s="487"/>
      <c r="F22" s="487"/>
      <c r="G22" s="76"/>
      <c r="H22" s="56"/>
      <c r="I22" s="494"/>
      <c r="J22" s="494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87"/>
      <c r="E26" s="487"/>
      <c r="F26" s="487"/>
      <c r="G26" s="76"/>
      <c r="H26" s="165"/>
      <c r="I26" s="494"/>
      <c r="J26" s="494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488"/>
      <c r="E28" s="488"/>
      <c r="F28" s="488"/>
      <c r="G28" s="33"/>
      <c r="H28" s="57"/>
      <c r="I28" s="459"/>
      <c r="J28" s="459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SUM(L14:L28)</f>
        <v>105</v>
      </c>
      <c r="M30" s="63">
        <f>SUM(P18:P28)</f>
        <v>31.666666666666675</v>
      </c>
      <c r="N30" s="133">
        <f>M30/L30</f>
        <v>0.30158730158730168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105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9.4499999999999993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114.45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8:F28"/>
    <mergeCell ref="I28:J28"/>
    <mergeCell ref="J30:K30"/>
    <mergeCell ref="J32:K32"/>
    <mergeCell ref="J34:K34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E71A2-F127-4950-B2F5-6F13AB4DA27B}">
  <sheetPr>
    <tabColor rgb="FFFFC000"/>
    <pageSetUpPr fitToPage="1"/>
  </sheetPr>
  <dimension ref="B1:P48"/>
  <sheetViews>
    <sheetView topLeftCell="A14" zoomScaleNormal="100" workbookViewId="0">
      <selection activeCell="I19" sqref="I19:J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1955</v>
      </c>
      <c r="J10" s="24" t="s">
        <v>27</v>
      </c>
      <c r="K10" s="464">
        <v>202501176</v>
      </c>
      <c r="L10" s="465"/>
    </row>
    <row r="11" spans="2:14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Koufu - Dessert                                               100 Bukit Timah Rd, #01-28                    KK Hospital, Singapore 229899</v>
      </c>
      <c r="G11" s="470"/>
      <c r="H11" s="471"/>
      <c r="J11" s="26" t="s">
        <v>9</v>
      </c>
      <c r="K11" s="478">
        <v>45665</v>
      </c>
      <c r="L11" s="479"/>
    </row>
    <row r="12" spans="2:14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19" t="s">
        <v>1309</v>
      </c>
    </row>
    <row r="13" spans="2:14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730</v>
      </c>
    </row>
    <row r="14" spans="2:14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713</v>
      </c>
      <c r="D18" s="487" t="str">
        <f>VLOOKUP(C18,'Sales Master'!B$3:D$537,2,)</f>
        <v>Chendol 浆咯</v>
      </c>
      <c r="E18" s="487"/>
      <c r="F18" s="487"/>
      <c r="G18" s="76">
        <v>1</v>
      </c>
      <c r="H18" s="186" t="str">
        <f>VLOOKUP(C18,'Sales Master'!$B$3:$F$2420,5,0)</f>
        <v>NW(2.2:0.8) 3kg/ Pkt包</v>
      </c>
      <c r="I18" s="484" t="str">
        <f>VLOOKUP(C18,'Sales Master'!$B$3:$E$2420,4,0)</f>
        <v>DO!</v>
      </c>
      <c r="J18" s="484"/>
      <c r="K18" s="30">
        <f>VLOOKUP(C18,'Sales Master'!$B$3:$CN$537,91,0)</f>
        <v>6.5</v>
      </c>
      <c r="L18" s="64">
        <f t="shared" ref="L18" si="0">K18*G18</f>
        <v>6.5</v>
      </c>
      <c r="N18" s="145">
        <f>VLOOKUP(C18,'Sales Master'!$B$3:$DA$2279,104,0)</f>
        <v>2.44</v>
      </c>
      <c r="O18" s="145">
        <f t="shared" ref="O18" si="1">K18-N18</f>
        <v>4.0600000000000005</v>
      </c>
      <c r="P18" s="145">
        <f t="shared" ref="P18" si="2">O18*G18</f>
        <v>4.0600000000000005</v>
      </c>
    </row>
    <row r="19" spans="2:16" ht="20.149999999999999" customHeight="1" x14ac:dyDescent="0.45">
      <c r="B19" s="29"/>
      <c r="C19" s="212" t="s">
        <v>702</v>
      </c>
      <c r="D19" s="487" t="str">
        <f>VLOOKUP(C19,'Sales Master'!B$3:D$537,2,)</f>
        <v>Durian Puree 榴莲酱</v>
      </c>
      <c r="E19" s="487"/>
      <c r="F19" s="487"/>
      <c r="G19" s="76">
        <v>1</v>
      </c>
      <c r="H19" s="186" t="str">
        <f>VLOOKUP(C19,'Sales Master'!$B$3:$F$2420,5,0)</f>
        <v>1 KG/ Box盒</v>
      </c>
      <c r="I19" s="484" t="str">
        <f>VLOOKUP(C19,'Sales Master'!$B$3:$E$2420,4,0)</f>
        <v>DO!</v>
      </c>
      <c r="J19" s="484"/>
      <c r="K19" s="30">
        <f>VLOOKUP(C19,'Sales Master'!$B$3:$CN$537,91,0)</f>
        <v>7</v>
      </c>
      <c r="L19" s="64">
        <f>K19*G19</f>
        <v>7</v>
      </c>
      <c r="N19" s="145">
        <f>VLOOKUP(C19,'Sales Master'!$B$3:$DA$2279,104,0)</f>
        <v>4.71</v>
      </c>
      <c r="O19" s="145">
        <f>K19-N19</f>
        <v>2.29</v>
      </c>
      <c r="P19" s="145">
        <f>O19*G19</f>
        <v>2.29</v>
      </c>
    </row>
    <row r="20" spans="2:16" ht="20.149999999999999" customHeight="1" x14ac:dyDescent="0.45">
      <c r="B20" s="29"/>
      <c r="C20" s="212" t="s">
        <v>703</v>
      </c>
      <c r="D20" s="487" t="str">
        <f>VLOOKUP(C20,'Sales Master'!B$3:D$537,2,)</f>
        <v>Mango Puree 芒果酱</v>
      </c>
      <c r="E20" s="487"/>
      <c r="F20" s="487"/>
      <c r="G20" s="76">
        <v>5</v>
      </c>
      <c r="H20" s="186" t="str">
        <f>VLOOKUP(C20,'Sales Master'!$B$3:$F$2420,5,0)</f>
        <v>1 KG/ Box盒</v>
      </c>
      <c r="I20" s="484" t="str">
        <f>VLOOKUP(C20,'Sales Master'!$B$3:$E$2420,4,0)</f>
        <v>DO!</v>
      </c>
      <c r="J20" s="484"/>
      <c r="K20" s="30">
        <f>VLOOKUP(C20,'Sales Master'!$B$3:$CN$537,91,0)</f>
        <v>7</v>
      </c>
      <c r="L20" s="64">
        <f>K20*G20</f>
        <v>35</v>
      </c>
      <c r="N20" s="145">
        <f>VLOOKUP(C20,'Sales Master'!$B$3:$DA$2279,104,0)</f>
        <v>2.15</v>
      </c>
      <c r="O20" s="145">
        <f>K20-N20</f>
        <v>4.8499999999999996</v>
      </c>
      <c r="P20" s="145">
        <f>O20*G20</f>
        <v>24.25</v>
      </c>
    </row>
    <row r="21" spans="2:16" ht="20.149999999999999" customHeight="1" x14ac:dyDescent="0.45">
      <c r="B21" s="29"/>
      <c r="C21" s="212" t="s">
        <v>712</v>
      </c>
      <c r="D21" s="487" t="str">
        <f>VLOOKUP(C21,'Sales Master'!B$3:D$537,2,)</f>
        <v>Bobo ChaCha Cubes 摩摩喳喳</v>
      </c>
      <c r="E21" s="487"/>
      <c r="F21" s="487"/>
      <c r="G21" s="76">
        <v>5</v>
      </c>
      <c r="H21" s="186" t="str">
        <f>VLOOKUP(C21,'Sales Master'!$B$3:$F$2420,5,0)</f>
        <v>800 GM/ Bag包</v>
      </c>
      <c r="I21" s="484" t="str">
        <f>VLOOKUP(C21,'Sales Master'!$B$3:$E$2420,4,0)</f>
        <v>DO!</v>
      </c>
      <c r="J21" s="484"/>
      <c r="K21" s="30">
        <f>VLOOKUP(C21,'Sales Master'!$B$3:$CN$537,91,0)</f>
        <v>6</v>
      </c>
      <c r="L21" s="64">
        <f>K21*G21</f>
        <v>30</v>
      </c>
      <c r="N21" s="145">
        <f>VLOOKUP(C21,'Sales Master'!$B$3:$DA$2279,104,0)</f>
        <v>0.89</v>
      </c>
      <c r="O21" s="145">
        <f>K21-N21</f>
        <v>5.1100000000000003</v>
      </c>
      <c r="P21" s="145">
        <f>O21*G21</f>
        <v>25.55</v>
      </c>
    </row>
    <row r="22" spans="2:16" ht="20.149999999999999" customHeight="1" x14ac:dyDescent="0.45">
      <c r="B22" s="29"/>
      <c r="C22" s="212" t="s">
        <v>786</v>
      </c>
      <c r="D22" s="487" t="str">
        <f>VLOOKUP(C22,'Sales Master'!B$3:D$537,2,)</f>
        <v>Tapioca Flour 茨粉</v>
      </c>
      <c r="E22" s="487"/>
      <c r="F22" s="487"/>
      <c r="G22" s="76">
        <v>10</v>
      </c>
      <c r="H22" s="186" t="str">
        <f>VLOOKUP(C22,'Sales Master'!$B$3:$F$2420,5,0)</f>
        <v xml:space="preserve">500 GM/pkt </v>
      </c>
      <c r="I22" s="484" t="str">
        <f>VLOOKUP(C22,'Sales Master'!$B$3:$E$2420,4,0)</f>
        <v>F/man 飞人</v>
      </c>
      <c r="J22" s="484"/>
      <c r="K22" s="30">
        <f>VLOOKUP(C22,'Sales Master'!$B$3:$CN$537,91,0)</f>
        <v>0.8</v>
      </c>
      <c r="L22" s="64">
        <f>K22*G22</f>
        <v>8</v>
      </c>
      <c r="N22" s="145">
        <f>VLOOKUP(C22,'Sales Master'!$B$3:$DA$2279,104,0)</f>
        <v>0.62</v>
      </c>
      <c r="O22" s="145">
        <f>K22-N22</f>
        <v>0.18000000000000005</v>
      </c>
      <c r="P22" s="145">
        <f>O22*G22</f>
        <v>1.8000000000000005</v>
      </c>
    </row>
    <row r="23" spans="2:16" ht="20.149999999999999" customHeight="1" x14ac:dyDescent="0.45">
      <c r="B23" s="29"/>
      <c r="C23" s="212" t="s">
        <v>805</v>
      </c>
      <c r="D23" s="487" t="str">
        <f>VLOOKUP(C23,'Sales Master'!B$3:D$537,2,)</f>
        <v>Atap Seeds in Syrup 亚嗒子</v>
      </c>
      <c r="E23" s="487"/>
      <c r="F23" s="487"/>
      <c r="G23" s="76">
        <v>1</v>
      </c>
      <c r="H23" s="186" t="str">
        <f>VLOOKUP(C23,'Sales Master'!$B$3:$F$2420,5,0)</f>
        <v>NW(1.6:0.6) 2.2kg/ Bag包</v>
      </c>
      <c r="I23" s="484" t="str">
        <f>VLOOKUP(C23,'Sales Master'!$B$3:$E$2420,4,0)</f>
        <v>DO!</v>
      </c>
      <c r="J23" s="484"/>
      <c r="K23" s="30">
        <f>VLOOKUP(C23,'Sales Master'!$B$3:$CN$537,91,0)</f>
        <v>9.5</v>
      </c>
      <c r="L23" s="64">
        <f>K23*G23</f>
        <v>9.5</v>
      </c>
      <c r="N23" s="145">
        <f>VLOOKUP(C23,'Sales Master'!$B$3:$DA$2279,104,0)</f>
        <v>7.3</v>
      </c>
      <c r="O23" s="145">
        <f>K23-N23</f>
        <v>2.2000000000000002</v>
      </c>
      <c r="P23" s="145">
        <f>O23*G23</f>
        <v>2.2000000000000002</v>
      </c>
    </row>
    <row r="24" spans="2:16" ht="20.149999999999999" customHeight="1" x14ac:dyDescent="0.45">
      <c r="B24" s="29"/>
      <c r="C24" s="212" t="s">
        <v>807</v>
      </c>
      <c r="D24" s="487" t="str">
        <f>VLOOKUP(C24,'Sales Master'!B$3:D$537,2,)</f>
        <v>Chin Chow  仙草</v>
      </c>
      <c r="E24" s="487"/>
      <c r="F24" s="487"/>
      <c r="G24" s="76">
        <v>1</v>
      </c>
      <c r="H24" s="186" t="str">
        <f>VLOOKUP(C24,'Sales Master'!$B$3:$F$2420,5,0)</f>
        <v>4 KG/ Pkt包</v>
      </c>
      <c r="I24" s="484" t="str">
        <f>VLOOKUP(C24,'Sales Master'!$B$3:$E$2420,4,0)</f>
        <v>TSM</v>
      </c>
      <c r="J24" s="484"/>
      <c r="K24" s="30">
        <f>VLOOKUP(C24,'Sales Master'!$B$3:$CN$537,91,0)</f>
        <v>6</v>
      </c>
      <c r="L24" s="64">
        <f t="shared" ref="L24" si="3">K24*G24</f>
        <v>6</v>
      </c>
      <c r="N24" s="145">
        <f>VLOOKUP(C24,'Sales Master'!$B$3:$DA$2279,104,0)</f>
        <v>4</v>
      </c>
      <c r="O24" s="145">
        <f t="shared" ref="O24" si="4">K24-N24</f>
        <v>2</v>
      </c>
      <c r="P24" s="145">
        <f t="shared" ref="P24" si="5">O24*G24</f>
        <v>2</v>
      </c>
    </row>
    <row r="25" spans="2:16" ht="20.149999999999999" customHeight="1" x14ac:dyDescent="0.45">
      <c r="B25" s="29"/>
      <c r="C25" s="212" t="s">
        <v>853</v>
      </c>
      <c r="D25" s="487" t="str">
        <f>VLOOKUP(C25,'Sales Master'!B$3:D$537,2,)</f>
        <v>Small Sago 小丸</v>
      </c>
      <c r="E25" s="487"/>
      <c r="F25" s="487"/>
      <c r="G25" s="76">
        <v>2</v>
      </c>
      <c r="H25" s="186" t="str">
        <f>VLOOKUP(C25,'Sales Master'!$B$3:$F$2420,5,0)</f>
        <v>5 KG</v>
      </c>
      <c r="I25" s="484" t="str">
        <f>VLOOKUP(C25,'Sales Master'!$B$3:$E$2420,4,0)</f>
        <v>-</v>
      </c>
      <c r="J25" s="484"/>
      <c r="K25" s="30">
        <f>VLOOKUP(C25,'Sales Master'!$B$3:$CN$537,91,0)</f>
        <v>10</v>
      </c>
      <c r="L25" s="64">
        <f t="shared" ref="L25:L26" si="6">K25*G25</f>
        <v>20</v>
      </c>
      <c r="N25" s="145">
        <f>VLOOKUP(C25,'Sales Master'!$B$3:$DA$2279,104,0)</f>
        <v>0.70833333333333326</v>
      </c>
      <c r="O25" s="145">
        <f t="shared" ref="O25:O26" si="7">K25-N25</f>
        <v>9.2916666666666661</v>
      </c>
      <c r="P25" s="145">
        <f t="shared" ref="P25:P26" si="8">O25*G25</f>
        <v>18.583333333333332</v>
      </c>
    </row>
    <row r="26" spans="2:16" ht="20.149999999999999" customHeight="1" x14ac:dyDescent="0.45">
      <c r="B26" s="29"/>
      <c r="C26" s="212" t="s">
        <v>956</v>
      </c>
      <c r="D26" s="487" t="str">
        <f>VLOOKUP(C26,'Sales Master'!B$3:D$537,2,)</f>
        <v>GingKo Nut 白果罐</v>
      </c>
      <c r="E26" s="487"/>
      <c r="F26" s="487"/>
      <c r="G26" s="76">
        <v>1</v>
      </c>
      <c r="H26" s="186" t="str">
        <f>VLOOKUP(C26,'Sales Master'!$B$3:$F$2420,5,0)</f>
        <v>397 GM x 24/ Ctn箱</v>
      </c>
      <c r="I26" s="484" t="str">
        <f>VLOOKUP(C26,'Sales Master'!$B$3:$E$2420,4,0)</f>
        <v>Golden Champ</v>
      </c>
      <c r="J26" s="484"/>
      <c r="K26" s="30">
        <f>VLOOKUP(C26,'Sales Master'!$B$3:$CN$537,91,0)</f>
        <v>32</v>
      </c>
      <c r="L26" s="64">
        <f t="shared" si="6"/>
        <v>32</v>
      </c>
      <c r="N26" s="145">
        <f>VLOOKUP(C26,'Sales Master'!$B$3:$DA$2279,104,0)</f>
        <v>21</v>
      </c>
      <c r="O26" s="145">
        <f t="shared" si="7"/>
        <v>11</v>
      </c>
      <c r="P26" s="145">
        <f t="shared" si="8"/>
        <v>11</v>
      </c>
    </row>
    <row r="27" spans="2:16" ht="20.149999999999999" customHeight="1" x14ac:dyDescent="0.45">
      <c r="B27" s="29"/>
      <c r="C27" s="212" t="s">
        <v>966</v>
      </c>
      <c r="D27" s="487" t="str">
        <f>VLOOKUP(C27,'Sales Master'!B$3:D$537,2,)</f>
        <v>Coconut Milk 椰浆</v>
      </c>
      <c r="E27" s="487"/>
      <c r="F27" s="487"/>
      <c r="G27" s="76">
        <v>2</v>
      </c>
      <c r="H27" s="186" t="str">
        <f>VLOOKUP(C27,'Sales Master'!$B$3:$F$2420,5,0)</f>
        <v>(1L x 12bag)/箱</v>
      </c>
      <c r="I27" s="484" t="str">
        <f>VLOOKUP(C27,'Sales Master'!$B$3:$E$2420,4,0)</f>
        <v>Kara UHT</v>
      </c>
      <c r="J27" s="484"/>
      <c r="K27" s="30">
        <f>VLOOKUP(C27,'Sales Master'!$B$3:$CN$537,91,0)</f>
        <v>54</v>
      </c>
      <c r="L27" s="64">
        <f>K27*G27</f>
        <v>108</v>
      </c>
      <c r="N27" s="145">
        <f>VLOOKUP(C27,'Sales Master'!$B$3:$DA$2279,104,0)</f>
        <v>35.799999999999997</v>
      </c>
      <c r="O27" s="145">
        <f>K27-N27</f>
        <v>18.200000000000003</v>
      </c>
      <c r="P27" s="145">
        <f>O27*G27</f>
        <v>36.400000000000006</v>
      </c>
    </row>
    <row r="28" spans="2:16" ht="20.149999999999999" customHeight="1" x14ac:dyDescent="0.45">
      <c r="B28" s="29"/>
      <c r="C28" s="212"/>
      <c r="D28" s="487"/>
      <c r="E28" s="487"/>
      <c r="F28" s="487"/>
      <c r="G28" s="76"/>
      <c r="H28" s="186"/>
      <c r="I28" s="484"/>
      <c r="J28" s="484"/>
      <c r="K28" s="30"/>
      <c r="L28" s="64"/>
      <c r="N28" s="145"/>
      <c r="O28" s="145"/>
      <c r="P28" s="145"/>
    </row>
    <row r="29" spans="2:16" ht="20.149999999999999" customHeight="1" x14ac:dyDescent="0.45">
      <c r="B29" s="29"/>
      <c r="C29" s="212"/>
      <c r="D29" s="487"/>
      <c r="E29" s="487"/>
      <c r="F29" s="487"/>
      <c r="G29" s="76"/>
      <c r="H29" s="186"/>
      <c r="I29" s="484"/>
      <c r="J29" s="484"/>
      <c r="K29" s="30"/>
      <c r="L29" s="64"/>
      <c r="N29" s="145"/>
      <c r="O29" s="145"/>
      <c r="P29" s="145"/>
    </row>
    <row r="30" spans="2:16" ht="20.149999999999999" customHeight="1" x14ac:dyDescent="0.45">
      <c r="B30" s="29"/>
      <c r="C30" s="212"/>
      <c r="D30" s="487"/>
      <c r="E30" s="487"/>
      <c r="F30" s="487"/>
      <c r="G30" s="76"/>
      <c r="H30" s="186"/>
      <c r="I30" s="484"/>
      <c r="J30" s="484"/>
      <c r="K30" s="30"/>
      <c r="L30" s="64"/>
      <c r="N30" s="145"/>
      <c r="O30" s="145"/>
      <c r="P30" s="145"/>
    </row>
    <row r="31" spans="2:16" ht="20.149999999999999" customHeight="1" x14ac:dyDescent="0.45">
      <c r="B31" s="29"/>
      <c r="C31" s="212"/>
      <c r="D31" s="487"/>
      <c r="E31" s="487"/>
      <c r="F31" s="487"/>
      <c r="G31" s="76"/>
      <c r="H31" s="186"/>
      <c r="I31" s="484"/>
      <c r="J31" s="484"/>
      <c r="K31" s="30"/>
      <c r="L31" s="64"/>
      <c r="N31" s="145"/>
      <c r="O31" s="145"/>
      <c r="P31" s="145"/>
    </row>
    <row r="32" spans="2:16" ht="20.149999999999999" customHeight="1" x14ac:dyDescent="0.45">
      <c r="B32" s="29"/>
      <c r="C32" s="212"/>
      <c r="G32" s="76"/>
      <c r="H32" s="186"/>
      <c r="I32" s="208"/>
      <c r="J32" s="208"/>
      <c r="K32" s="30"/>
      <c r="L32" s="64"/>
      <c r="N32" s="145"/>
      <c r="O32" s="145"/>
      <c r="P32" s="145"/>
    </row>
    <row r="33" spans="2:16" ht="20.149999999999999" customHeight="1" x14ac:dyDescent="0.45">
      <c r="B33" s="29"/>
      <c r="C33" s="212"/>
      <c r="G33" s="76"/>
      <c r="H33" s="186"/>
      <c r="I33" s="208"/>
      <c r="J33" s="208"/>
      <c r="K33" s="30"/>
      <c r="L33" s="64"/>
      <c r="N33" s="145"/>
      <c r="O33" s="145"/>
      <c r="P33" s="145"/>
    </row>
    <row r="34" spans="2:16" ht="20.149999999999999" customHeight="1" thickBot="1" x14ac:dyDescent="0.5">
      <c r="B34" s="32"/>
      <c r="C34" s="33"/>
      <c r="D34" s="488"/>
      <c r="E34" s="488"/>
      <c r="F34" s="488"/>
      <c r="G34" s="33"/>
      <c r="H34" s="57"/>
      <c r="I34" s="459"/>
      <c r="J34" s="459"/>
      <c r="K34" s="34"/>
      <c r="L34" s="35"/>
    </row>
    <row r="35" spans="2:16" ht="20.149999999999999" customHeight="1" thickBot="1" x14ac:dyDescent="0.5">
      <c r="B35" s="36"/>
      <c r="L35" s="37"/>
    </row>
    <row r="36" spans="2:16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89" t="s">
        <v>13</v>
      </c>
      <c r="K36" s="490"/>
      <c r="L36" s="38">
        <f>SUM(L14:L35)</f>
        <v>262</v>
      </c>
      <c r="M36" s="63">
        <f>SUM(P18:P35)</f>
        <v>128.13333333333333</v>
      </c>
      <c r="N36" s="133">
        <f>M36/L36</f>
        <v>0.48905852417302798</v>
      </c>
    </row>
    <row r="37" spans="2:16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6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91" t="s">
        <v>19</v>
      </c>
      <c r="K38" s="492"/>
      <c r="L38" s="41">
        <f>L36-L37</f>
        <v>262</v>
      </c>
    </row>
    <row r="39" spans="2:16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23.58</v>
      </c>
    </row>
    <row r="40" spans="2:16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6"/>
      <c r="J40" s="485" t="s">
        <v>21</v>
      </c>
      <c r="K40" s="486"/>
      <c r="L40" s="43">
        <f>L38+L39</f>
        <v>285.58</v>
      </c>
    </row>
    <row r="41" spans="2:16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6" ht="20.149999999999999" customHeight="1" x14ac:dyDescent="0.45">
      <c r="B42" s="36"/>
      <c r="L42" s="37"/>
    </row>
    <row r="43" spans="2:16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x14ac:dyDescent="0.45">
      <c r="B46" s="44"/>
      <c r="C46" s="45"/>
      <c r="D46" s="45"/>
      <c r="J46" s="45"/>
      <c r="K46" s="45"/>
      <c r="L46" s="46"/>
    </row>
    <row r="47" spans="2:16" ht="20.149999999999999" customHeight="1" x14ac:dyDescent="0.45">
      <c r="B47" s="36" t="s">
        <v>25</v>
      </c>
      <c r="J47" s="19" t="s">
        <v>26</v>
      </c>
      <c r="L47" s="37"/>
    </row>
    <row r="48" spans="2:16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4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22:F22"/>
    <mergeCell ref="I27:J27"/>
    <mergeCell ref="I30:J30"/>
    <mergeCell ref="I29:J29"/>
    <mergeCell ref="I28:J28"/>
    <mergeCell ref="D23:F23"/>
    <mergeCell ref="D21:F21"/>
    <mergeCell ref="D20:F20"/>
    <mergeCell ref="D24:F24"/>
    <mergeCell ref="D19:F19"/>
    <mergeCell ref="D26:F26"/>
    <mergeCell ref="D25:F25"/>
    <mergeCell ref="J40:K40"/>
    <mergeCell ref="D34:F34"/>
    <mergeCell ref="I34:J34"/>
    <mergeCell ref="J36:K36"/>
    <mergeCell ref="J38:K38"/>
    <mergeCell ref="I31:J31"/>
    <mergeCell ref="D31:F31"/>
    <mergeCell ref="I18:J18"/>
    <mergeCell ref="I21:J21"/>
    <mergeCell ref="I26:J26"/>
    <mergeCell ref="I22:J22"/>
    <mergeCell ref="I20:J20"/>
    <mergeCell ref="I25:J25"/>
    <mergeCell ref="I24:J24"/>
    <mergeCell ref="I19:J19"/>
    <mergeCell ref="D18:F18"/>
    <mergeCell ref="D27:F27"/>
    <mergeCell ref="I23:J23"/>
    <mergeCell ref="D28:F28"/>
    <mergeCell ref="D29:F29"/>
    <mergeCell ref="D30:F30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6A4D5-6BC2-4354-B3E0-A0846EB816EF}">
  <sheetPr>
    <tabColor rgb="FFFFC000"/>
    <pageSetUpPr fitToPage="1"/>
  </sheetPr>
  <dimension ref="B1:S42"/>
  <sheetViews>
    <sheetView topLeftCell="A23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1967</v>
      </c>
      <c r="J10" s="24" t="s">
        <v>27</v>
      </c>
      <c r="K10" s="464">
        <v>202410324</v>
      </c>
      <c r="L10" s="465"/>
    </row>
    <row r="11" spans="2:14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Koufu - Drink                                                   215C Compassvale Drive, #01-06                  Singapore 543215</v>
      </c>
      <c r="G11" s="470"/>
      <c r="H11" s="471"/>
      <c r="J11" s="26" t="s">
        <v>9</v>
      </c>
      <c r="K11" s="478">
        <v>45579</v>
      </c>
      <c r="L11" s="479"/>
    </row>
    <row r="12" spans="2:14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19" t="s">
        <v>1309</v>
      </c>
    </row>
    <row r="13" spans="2:14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730</v>
      </c>
    </row>
    <row r="14" spans="2:14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9" ht="20.149999999999999" customHeight="1" x14ac:dyDescent="0.45">
      <c r="B18" s="29"/>
      <c r="C18" s="212" t="s">
        <v>841</v>
      </c>
      <c r="D18" s="487" t="str">
        <f>VLOOKUP(C18,'Sales Master'!B$3:D$537,2,)</f>
        <v>White Glutinous Rice 白糯米</v>
      </c>
      <c r="E18" s="487"/>
      <c r="F18" s="487"/>
      <c r="G18" s="76">
        <v>1</v>
      </c>
      <c r="H18" s="186" t="str">
        <f>VLOOKUP(C18,'Sales Master'!$B$3:$F$2488,5,0)</f>
        <v>5 KG</v>
      </c>
      <c r="I18" s="484" t="str">
        <f>VLOOKUP(C18,'Sales Master'!$B$3:$E$2488,4,0)</f>
        <v>-</v>
      </c>
      <c r="J18" s="484"/>
      <c r="K18" s="30">
        <f>VLOOKUP(C18,'Sales Master'!B$3:J$537,9,0)</f>
        <v>10</v>
      </c>
      <c r="L18" s="64">
        <f>K18*G18</f>
        <v>10</v>
      </c>
      <c r="M18" s="65"/>
      <c r="N18" s="145">
        <f>VLOOKUP(C18,'Sales Master'!$B$3:$DA$2279,104,0)</f>
        <v>6</v>
      </c>
      <c r="O18" s="145">
        <f>K18-N18</f>
        <v>4</v>
      </c>
      <c r="P18" s="145">
        <f>O18*G18</f>
        <v>4</v>
      </c>
    </row>
    <row r="19" spans="2:19" ht="20.149999999999999" customHeight="1" x14ac:dyDescent="0.45">
      <c r="B19" s="29"/>
      <c r="C19" s="212" t="s">
        <v>937</v>
      </c>
      <c r="D19" s="487" t="str">
        <f>VLOOKUP(C19,'Sales Master'!B$3:D$537,2,)</f>
        <v>Lychee in Syrup 荔枝</v>
      </c>
      <c r="E19" s="487"/>
      <c r="F19" s="487"/>
      <c r="G19" s="76">
        <v>3</v>
      </c>
      <c r="H19" s="186" t="str">
        <f>VLOOKUP(C19,'Sales Master'!$B$3:$F$2488,5,0)</f>
        <v>12 CAN/CARTON</v>
      </c>
      <c r="I19" s="484" t="str">
        <f>VLOOKUP(C19,'Sales Master'!$B$3:$E$2488,4,0)</f>
        <v>Statue</v>
      </c>
      <c r="J19" s="484"/>
      <c r="K19" s="30">
        <f>VLOOKUP(C19,'Sales Master'!B$3:J$537,9,0)</f>
        <v>22</v>
      </c>
      <c r="L19" s="64">
        <f>K19*G19</f>
        <v>66</v>
      </c>
      <c r="M19" s="65"/>
      <c r="N19" s="145">
        <f>VLOOKUP(C19,'Sales Master'!$B$3:$DA$2279,104,0)</f>
        <v>16.5</v>
      </c>
      <c r="O19" s="145">
        <f>K19-N19</f>
        <v>5.5</v>
      </c>
      <c r="P19" s="145">
        <f>O19*G19</f>
        <v>16.5</v>
      </c>
      <c r="R19" s="63"/>
      <c r="S19" s="63"/>
    </row>
    <row r="20" spans="2:19" ht="20.149999999999999" customHeight="1" x14ac:dyDescent="0.45">
      <c r="B20" s="29"/>
      <c r="C20" s="212"/>
      <c r="D20" s="487"/>
      <c r="E20" s="487"/>
      <c r="F20" s="487"/>
      <c r="G20" s="76"/>
      <c r="H20" s="186"/>
      <c r="I20" s="484"/>
      <c r="J20" s="484"/>
      <c r="K20" s="30"/>
      <c r="L20" s="64"/>
      <c r="M20" s="65"/>
      <c r="N20" s="145"/>
      <c r="O20" s="145"/>
      <c r="P20" s="145"/>
    </row>
    <row r="21" spans="2:19" ht="20.149999999999999" customHeight="1" x14ac:dyDescent="0.45">
      <c r="B21" s="29"/>
      <c r="C21" s="212"/>
      <c r="D21" s="487"/>
      <c r="E21" s="487"/>
      <c r="F21" s="487"/>
      <c r="G21" s="76"/>
      <c r="H21" s="186"/>
      <c r="I21" s="484"/>
      <c r="J21" s="484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212"/>
      <c r="D22" s="487"/>
      <c r="E22" s="487"/>
      <c r="F22" s="487"/>
      <c r="G22" s="76"/>
      <c r="H22" s="186"/>
      <c r="I22" s="484"/>
      <c r="J22" s="484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87"/>
      <c r="E23" s="487"/>
      <c r="F23" s="487"/>
      <c r="G23" s="76"/>
      <c r="H23" s="186"/>
      <c r="I23" s="484"/>
      <c r="J23" s="484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87"/>
      <c r="E26" s="487"/>
      <c r="F26" s="487"/>
      <c r="G26" s="76"/>
      <c r="H26" s="165"/>
      <c r="I26" s="494"/>
      <c r="J26" s="494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488"/>
      <c r="E28" s="488"/>
      <c r="F28" s="488"/>
      <c r="G28" s="33"/>
      <c r="H28" s="57"/>
      <c r="I28" s="459"/>
      <c r="J28" s="459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SUM(L14:L28)</f>
        <v>76</v>
      </c>
      <c r="M30" s="63">
        <f>SUM(P18:P28)</f>
        <v>20.5</v>
      </c>
      <c r="N30" s="133">
        <f>M30/L30</f>
        <v>0.26973684210526316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76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6.84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82.84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5807A-B0EE-4073-BA42-AE4EABA41A93}">
  <sheetPr>
    <tabColor rgb="FFFFC000"/>
    <pageSetUpPr fitToPage="1"/>
  </sheetPr>
  <dimension ref="B1:S42"/>
  <sheetViews>
    <sheetView topLeftCell="D1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1976</v>
      </c>
      <c r="J10" s="24" t="s">
        <v>27</v>
      </c>
      <c r="K10" s="464">
        <v>202406237</v>
      </c>
      <c r="L10" s="465"/>
    </row>
    <row r="11" spans="2:14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Koufu - Dim Sum                                            Koufu Food Court @ Woodlands Health    17 Woodlands Drive 17, #B1-03/04  Singapore 737628</v>
      </c>
      <c r="G11" s="470"/>
      <c r="H11" s="471"/>
      <c r="J11" s="26" t="s">
        <v>9</v>
      </c>
      <c r="K11" s="478">
        <v>45453</v>
      </c>
      <c r="L11" s="479"/>
    </row>
    <row r="12" spans="2:14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19" t="s">
        <v>1309</v>
      </c>
    </row>
    <row r="13" spans="2:14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730</v>
      </c>
    </row>
    <row r="14" spans="2:14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9" ht="20.149999999999999" customHeight="1" x14ac:dyDescent="0.45">
      <c r="B18" s="29"/>
      <c r="C18" s="212" t="s">
        <v>713</v>
      </c>
      <c r="D18" s="487" t="str">
        <f>VLOOKUP(C18,'Sales Master'!B$3:D$537,2,)</f>
        <v>Chendol 浆咯</v>
      </c>
      <c r="E18" s="487"/>
      <c r="F18" s="487"/>
      <c r="G18" s="76">
        <v>3</v>
      </c>
      <c r="H18" s="186" t="str">
        <f>VLOOKUP(C18,'Sales Master'!$B$3:$F$2420,5,0)</f>
        <v>NW(2.2:0.8) 3kg/ Pkt包</v>
      </c>
      <c r="I18" s="484" t="str">
        <f>VLOOKUP(C18,'Sales Master'!$B$3:$E$2420,4,0)</f>
        <v>DO!</v>
      </c>
      <c r="J18" s="484"/>
      <c r="K18" s="30">
        <f>VLOOKUP(C18,'Sales Master'!$B$3:$CO$537,92,0)</f>
        <v>6.5</v>
      </c>
      <c r="L18" s="64">
        <f>K18*G18</f>
        <v>19.5</v>
      </c>
      <c r="N18" s="145">
        <f>VLOOKUP(C18,'Sales Master'!$B$3:$DA$2279,104,0)</f>
        <v>2.44</v>
      </c>
      <c r="O18" s="145">
        <f>K18-N18</f>
        <v>4.0600000000000005</v>
      </c>
      <c r="P18" s="145">
        <f>O18*G18</f>
        <v>12.180000000000001</v>
      </c>
    </row>
    <row r="19" spans="2:19" ht="20.149999999999999" customHeight="1" x14ac:dyDescent="0.45">
      <c r="B19" s="29"/>
      <c r="C19" s="212" t="s">
        <v>787</v>
      </c>
      <c r="D19" s="487" t="str">
        <f>VLOOKUP(C19,'Sales Master'!B$3:D$537,2,)</f>
        <v>Potato Starch 风车粉</v>
      </c>
      <c r="E19" s="487"/>
      <c r="F19" s="487"/>
      <c r="G19" s="76">
        <v>1</v>
      </c>
      <c r="H19" s="186" t="str">
        <f>VLOOKUP(C19,'Sales Master'!$B$3:$F$2420,5,0)</f>
        <v>350 GM x 24/ Ctn箱</v>
      </c>
      <c r="I19" s="484" t="str">
        <f>VLOOKUP(C19,'Sales Master'!$B$3:$E$2420,4,0)</f>
        <v>Windmill</v>
      </c>
      <c r="J19" s="484"/>
      <c r="K19" s="30">
        <f>VLOOKUP(C19,'Sales Master'!$B$3:$CO$537,92,0)</f>
        <v>41</v>
      </c>
      <c r="L19" s="64">
        <f>K19*G19</f>
        <v>41</v>
      </c>
      <c r="N19" s="145">
        <f>VLOOKUP(C19,'Sales Master'!$B$3:$DA$2279,104,0)</f>
        <v>33.6</v>
      </c>
      <c r="O19" s="145">
        <f>K19-N19</f>
        <v>7.3999999999999986</v>
      </c>
      <c r="P19" s="145">
        <f>O19*G19</f>
        <v>7.3999999999999986</v>
      </c>
      <c r="R19" s="63"/>
      <c r="S19" s="63"/>
    </row>
    <row r="20" spans="2:19" ht="20.149999999999999" customHeight="1" x14ac:dyDescent="0.45">
      <c r="B20" s="29"/>
      <c r="C20" s="212" t="s">
        <v>807</v>
      </c>
      <c r="D20" s="487" t="str">
        <f>VLOOKUP(C20,'Sales Master'!B$3:D$537,2,)</f>
        <v>Chin Chow  仙草</v>
      </c>
      <c r="E20" s="487"/>
      <c r="F20" s="487"/>
      <c r="G20" s="76">
        <v>2</v>
      </c>
      <c r="H20" s="186" t="str">
        <f>VLOOKUP(C20,'Sales Master'!$B$3:$F$2420,5,0)</f>
        <v>4 KG/ Pkt包</v>
      </c>
      <c r="I20" s="484" t="str">
        <f>VLOOKUP(C20,'Sales Master'!$B$3:$E$2420,4,0)</f>
        <v>TSM</v>
      </c>
      <c r="J20" s="484"/>
      <c r="K20" s="30">
        <f>VLOOKUP(C20,'Sales Master'!$B$3:$CO$537,92,0)</f>
        <v>6</v>
      </c>
      <c r="L20" s="64">
        <f>K20*G20</f>
        <v>12</v>
      </c>
      <c r="N20" s="145">
        <f>VLOOKUP(C20,'Sales Master'!$B$3:$DA$2279,104,0)</f>
        <v>4</v>
      </c>
      <c r="O20" s="145">
        <f>K20-N20</f>
        <v>2</v>
      </c>
      <c r="P20" s="145">
        <f>O20*G20</f>
        <v>4</v>
      </c>
    </row>
    <row r="21" spans="2:19" ht="20.149999999999999" customHeight="1" x14ac:dyDescent="0.45">
      <c r="B21" s="29"/>
      <c r="C21" s="212" t="s">
        <v>817</v>
      </c>
      <c r="D21" s="487" t="str">
        <f>VLOOKUP(C21,'Sales Master'!B$3:D$537,2,)</f>
        <v>Small Red Bean 小红豆</v>
      </c>
      <c r="E21" s="487"/>
      <c r="F21" s="487"/>
      <c r="G21" s="76">
        <v>5</v>
      </c>
      <c r="H21" s="186" t="str">
        <f>VLOOKUP(C21,'Sales Master'!$B$3:$F$2420,5,0)</f>
        <v>5 KG</v>
      </c>
      <c r="I21" s="484" t="str">
        <f>VLOOKUP(C21,'Sales Master'!$B$3:$E$2420,4,0)</f>
        <v>-</v>
      </c>
      <c r="J21" s="484"/>
      <c r="K21" s="30">
        <f>VLOOKUP(C21,'Sales Master'!$B$3:$CO$537,92,0)</f>
        <v>17.5</v>
      </c>
      <c r="L21" s="64">
        <f>K21*G21</f>
        <v>87.5</v>
      </c>
      <c r="N21" s="145">
        <f>VLOOKUP(C21,'Sales Master'!$B$3:$DA$2279,104,0)</f>
        <v>12.75</v>
      </c>
      <c r="O21" s="145">
        <f>K21-N21</f>
        <v>4.75</v>
      </c>
      <c r="P21" s="145">
        <f>O21*G21</f>
        <v>23.75</v>
      </c>
    </row>
    <row r="22" spans="2:19" ht="20.149999999999999" customHeight="1" x14ac:dyDescent="0.45">
      <c r="B22" s="29"/>
      <c r="C22" s="212"/>
      <c r="D22" s="487"/>
      <c r="E22" s="487"/>
      <c r="F22" s="487"/>
      <c r="G22" s="76"/>
      <c r="H22" s="186"/>
      <c r="I22" s="484"/>
      <c r="J22" s="484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212"/>
      <c r="D23" s="487"/>
      <c r="E23" s="487"/>
      <c r="F23" s="487"/>
      <c r="G23" s="76"/>
      <c r="H23" s="186"/>
      <c r="I23" s="484"/>
      <c r="J23" s="484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87"/>
      <c r="E26" s="487"/>
      <c r="F26" s="487"/>
      <c r="G26" s="76"/>
      <c r="H26" s="165"/>
      <c r="I26" s="494"/>
      <c r="J26" s="494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488"/>
      <c r="E28" s="488"/>
      <c r="F28" s="488"/>
      <c r="G28" s="33"/>
      <c r="H28" s="57"/>
      <c r="I28" s="459"/>
      <c r="J28" s="459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SUM(L14:L28)</f>
        <v>160</v>
      </c>
      <c r="M30" s="63">
        <f>SUM(P18:P28)</f>
        <v>47.33</v>
      </c>
      <c r="N30" s="133">
        <f>M30/L30</f>
        <v>0.29581249999999998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160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14.399999999999999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174.4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8"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  <mergeCell ref="D22:F22"/>
    <mergeCell ref="I22:J22"/>
    <mergeCell ref="D23:F23"/>
    <mergeCell ref="I23:J23"/>
    <mergeCell ref="D24:F24"/>
    <mergeCell ref="I24:J24"/>
    <mergeCell ref="I17:J17"/>
    <mergeCell ref="D19:F19"/>
    <mergeCell ref="I19:J19"/>
    <mergeCell ref="D21:F21"/>
    <mergeCell ref="I21:J21"/>
    <mergeCell ref="D18:F18"/>
    <mergeCell ref="I18:J18"/>
    <mergeCell ref="D17:F17"/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36451-4B96-4D24-8F72-E1DD5A0C68D4}">
  <sheetPr>
    <tabColor rgb="FFFFC000"/>
    <pageSetUpPr fitToPage="1"/>
  </sheetPr>
  <dimension ref="B1:N46"/>
  <sheetViews>
    <sheetView topLeftCell="A26" workbookViewId="0">
      <selection activeCell="D23" sqref="D23:F2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1977</v>
      </c>
      <c r="J10" s="24" t="s">
        <v>27</v>
      </c>
      <c r="K10" s="464">
        <v>202504225</v>
      </c>
      <c r="L10" s="465"/>
    </row>
    <row r="11" spans="2:14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Koufu - Dessert                                               Koufu Food Court @ Woodlands Health    17 Woodlands Drive 17, #B1-03/04  Singapore 737628</v>
      </c>
      <c r="G11" s="470"/>
      <c r="H11" s="471"/>
      <c r="J11" s="26" t="s">
        <v>9</v>
      </c>
      <c r="K11" s="478">
        <v>45756</v>
      </c>
      <c r="L11" s="479"/>
    </row>
    <row r="12" spans="2:14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19" t="s">
        <v>1309</v>
      </c>
    </row>
    <row r="13" spans="2:14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730</v>
      </c>
    </row>
    <row r="14" spans="2:14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2" t="s">
        <v>713</v>
      </c>
      <c r="D18" s="487" t="str">
        <f>VLOOKUP(C18,'Sales Master'!B$3:D$537,2,)</f>
        <v>Chendol 浆咯</v>
      </c>
      <c r="E18" s="487"/>
      <c r="F18" s="487"/>
      <c r="G18" s="76">
        <v>2</v>
      </c>
      <c r="H18" s="186" t="str">
        <f>VLOOKUP(C18,'Sales Master'!$B$3:$F$2420,5,0)</f>
        <v>NW(2.2:0.8) 3kg/ Pkt包</v>
      </c>
      <c r="I18" s="484" t="str">
        <f>VLOOKUP(C18,'Sales Master'!$B$3:$E$2420,4,0)</f>
        <v>DO!</v>
      </c>
      <c r="J18" s="484"/>
      <c r="K18" s="30">
        <f>VLOOKUP(C18,'Sales Master'!$B$3:$CO$537,92,0)</f>
        <v>6.5</v>
      </c>
      <c r="L18" s="64">
        <f t="shared" ref="L18" si="0">K18*G18</f>
        <v>13</v>
      </c>
    </row>
    <row r="19" spans="2:13" ht="20.149999999999999" customHeight="1" x14ac:dyDescent="0.45">
      <c r="B19" s="29"/>
      <c r="C19" s="212" t="s">
        <v>698</v>
      </c>
      <c r="D19" s="487" t="str">
        <f>VLOOKUP(C19,'Sales Master'!B$3:D$537,2,)</f>
        <v xml:space="preserve">Fresh Soursop 红毛榴莲 </v>
      </c>
      <c r="E19" s="487"/>
      <c r="F19" s="487"/>
      <c r="G19" s="76">
        <v>1</v>
      </c>
      <c r="H19" s="186" t="str">
        <f>VLOOKUP(C19,'Sales Master'!$B$3:$F$2420,5,0)</f>
        <v>GW:5 KG/ Tub桶</v>
      </c>
      <c r="I19" s="484" t="str">
        <f>VLOOKUP(C19,'Sales Master'!$B$3:$E$2420,4,0)</f>
        <v>DO!</v>
      </c>
      <c r="J19" s="484"/>
      <c r="K19" s="30">
        <f>VLOOKUP(C19,'Sales Master'!$B$3:$CO$537,92,0)</f>
        <v>31</v>
      </c>
      <c r="L19" s="64">
        <f t="shared" ref="L19:L23" si="1">K19*G19</f>
        <v>31</v>
      </c>
    </row>
    <row r="20" spans="2:13" ht="20.149999999999999" customHeight="1" x14ac:dyDescent="0.45">
      <c r="B20" s="29"/>
      <c r="C20" s="212" t="s">
        <v>702</v>
      </c>
      <c r="D20" s="487" t="str">
        <f>VLOOKUP(C20,'Sales Master'!B$3:D$537,2,)</f>
        <v>Durian Puree 榴莲酱</v>
      </c>
      <c r="E20" s="487"/>
      <c r="F20" s="487"/>
      <c r="G20" s="76">
        <v>5</v>
      </c>
      <c r="H20" s="186" t="str">
        <f>VLOOKUP(C20,'Sales Master'!$B$3:$F$2420,5,0)</f>
        <v>1 KG/ Box盒</v>
      </c>
      <c r="I20" s="484" t="str">
        <f>VLOOKUP(C20,'Sales Master'!$B$3:$E$2420,4,0)</f>
        <v>DO!</v>
      </c>
      <c r="J20" s="484"/>
      <c r="K20" s="30">
        <f>VLOOKUP(C20,'Sales Master'!$B$3:$CO$537,92,0)</f>
        <v>7</v>
      </c>
      <c r="L20" s="64">
        <f t="shared" si="1"/>
        <v>35</v>
      </c>
    </row>
    <row r="21" spans="2:13" ht="20.149999999999999" customHeight="1" x14ac:dyDescent="0.45">
      <c r="B21" s="29"/>
      <c r="C21" s="212" t="s">
        <v>777</v>
      </c>
      <c r="D21" s="487" t="str">
        <f>VLOOKUP(C21,'Sales Master'!B$3:D$537,2,)</f>
        <v>Sweet Potato Powder 番薯粉</v>
      </c>
      <c r="E21" s="487"/>
      <c r="F21" s="487"/>
      <c r="G21" s="76">
        <v>1</v>
      </c>
      <c r="H21" s="188" t="str">
        <f>VLOOKUP(C21,'Sales Master'!$B$3:$F$2420,5,0)</f>
        <v>(500gm x 20Pkt)包</v>
      </c>
      <c r="I21" s="484" t="str">
        <f>VLOOKUP(C21,'Sales Master'!$B$3:$E$2420,4,0)</f>
        <v>RE-PACK</v>
      </c>
      <c r="J21" s="484"/>
      <c r="K21" s="30">
        <f>VLOOKUP(C21,'Sales Master'!$B$3:$CO$537,92,0)</f>
        <v>32</v>
      </c>
      <c r="L21" s="64">
        <f t="shared" si="1"/>
        <v>32</v>
      </c>
    </row>
    <row r="22" spans="2:13" ht="20.149999999999999" customHeight="1" x14ac:dyDescent="0.45">
      <c r="B22" s="29"/>
      <c r="C22" s="212" t="s">
        <v>807</v>
      </c>
      <c r="D22" s="487" t="str">
        <f>VLOOKUP(C22,'Sales Master'!B$3:D$537,2,)</f>
        <v>Chin Chow  仙草</v>
      </c>
      <c r="E22" s="487"/>
      <c r="F22" s="487"/>
      <c r="G22" s="76">
        <v>2</v>
      </c>
      <c r="H22" s="186" t="str">
        <f>VLOOKUP(C22,'Sales Master'!$B$3:$F$2420,5,0)</f>
        <v>4 KG/ Pkt包</v>
      </c>
      <c r="I22" s="484" t="str">
        <f>VLOOKUP(C22,'Sales Master'!$B$3:$E$2420,4,0)</f>
        <v>TSM</v>
      </c>
      <c r="J22" s="484"/>
      <c r="K22" s="30">
        <f>VLOOKUP(C22,'Sales Master'!$B$3:$CO$537,92,0)</f>
        <v>6</v>
      </c>
      <c r="L22" s="64">
        <f t="shared" si="1"/>
        <v>12</v>
      </c>
    </row>
    <row r="23" spans="2:13" ht="20.149999999999999" customHeight="1" x14ac:dyDescent="0.45">
      <c r="B23" s="29"/>
      <c r="C23" s="212" t="s">
        <v>817</v>
      </c>
      <c r="D23" s="487" t="str">
        <f>VLOOKUP(C23,'Sales Master'!B$3:D$537,2,)</f>
        <v>Small Red Bean 小红豆</v>
      </c>
      <c r="E23" s="487"/>
      <c r="F23" s="487"/>
      <c r="G23" s="76">
        <v>2</v>
      </c>
      <c r="H23" s="186" t="str">
        <f>VLOOKUP(C23,'Sales Master'!$B$3:$F$2420,5,0)</f>
        <v>5 KG</v>
      </c>
      <c r="I23" s="484" t="str">
        <f>VLOOKUP(C23,'Sales Master'!$B$3:$E$2420,4,0)</f>
        <v>-</v>
      </c>
      <c r="J23" s="484"/>
      <c r="K23" s="30">
        <f>VLOOKUP(C23,'Sales Master'!$B$3:$CO$537,92,0)</f>
        <v>17.5</v>
      </c>
      <c r="L23" s="64">
        <f t="shared" si="1"/>
        <v>35</v>
      </c>
    </row>
    <row r="24" spans="2:13" ht="20.149999999999999" customHeight="1" x14ac:dyDescent="0.45">
      <c r="B24" s="29"/>
      <c r="C24" s="212" t="s">
        <v>825</v>
      </c>
      <c r="D24" s="487" t="str">
        <f>VLOOKUP(C24,'Sales Master'!B$3:D$537,2,)</f>
        <v>Green Bean 绿豆</v>
      </c>
      <c r="E24" s="487"/>
      <c r="F24" s="487"/>
      <c r="G24" s="76">
        <v>2</v>
      </c>
      <c r="H24" s="186" t="str">
        <f>VLOOKUP(C24,'Sales Master'!$B$3:$F$2420,5,0)</f>
        <v>5 KG</v>
      </c>
      <c r="I24" s="484" t="str">
        <f>VLOOKUP(C24,'Sales Master'!$B$3:$E$2420,4,0)</f>
        <v>-</v>
      </c>
      <c r="J24" s="484"/>
      <c r="K24" s="30">
        <f>VLOOKUP(C24,'Sales Master'!$B$3:$CO$537,92,0)</f>
        <v>13</v>
      </c>
      <c r="L24" s="64">
        <f t="shared" ref="L24:L25" si="2">K24*G24</f>
        <v>26</v>
      </c>
    </row>
    <row r="25" spans="2:13" ht="20.149999999999999" customHeight="1" x14ac:dyDescent="0.45">
      <c r="B25" s="29"/>
      <c r="C25" s="212" t="s">
        <v>837</v>
      </c>
      <c r="D25" s="487" t="str">
        <f>VLOOKUP(C25,'Sales Master'!B$3:D$537,2,)</f>
        <v>Black Glutinous Rice 黑糯米</v>
      </c>
      <c r="E25" s="487"/>
      <c r="F25" s="487"/>
      <c r="G25" s="76">
        <v>1</v>
      </c>
      <c r="H25" s="186" t="str">
        <f>VLOOKUP(C25,'Sales Master'!$B$3:$F$2420,5,0)</f>
        <v>5 KGS</v>
      </c>
      <c r="I25" s="484" t="str">
        <f>VLOOKUP(C25,'Sales Master'!$B$3:$E$2420,4,0)</f>
        <v>-</v>
      </c>
      <c r="J25" s="484"/>
      <c r="K25" s="30">
        <f>VLOOKUP(C25,'Sales Master'!$B$3:$CO$537,92,0)</f>
        <v>18</v>
      </c>
      <c r="L25" s="64">
        <f t="shared" si="2"/>
        <v>18</v>
      </c>
    </row>
    <row r="26" spans="2:13" ht="20.149999999999999" customHeight="1" x14ac:dyDescent="0.45">
      <c r="B26" s="29"/>
      <c r="C26" s="212" t="s">
        <v>853</v>
      </c>
      <c r="D26" s="487" t="str">
        <f>VLOOKUP(C26,'Sales Master'!B$3:D$537,2,)</f>
        <v>Small Sago 小丸</v>
      </c>
      <c r="E26" s="487"/>
      <c r="F26" s="487"/>
      <c r="G26" s="76">
        <v>1</v>
      </c>
      <c r="H26" s="186" t="str">
        <f>VLOOKUP(C26,'Sales Master'!$B$3:$F$2420,5,0)</f>
        <v>5 KG</v>
      </c>
      <c r="I26" s="484" t="str">
        <f>VLOOKUP(C26,'Sales Master'!$B$3:$E$2420,4,0)</f>
        <v>-</v>
      </c>
      <c r="J26" s="484"/>
      <c r="K26" s="30">
        <f>VLOOKUP(C26,'Sales Master'!$B$3:$CO$537,92,0)</f>
        <v>10</v>
      </c>
      <c r="L26" s="64">
        <f t="shared" ref="L26" si="3">K26*G26</f>
        <v>10</v>
      </c>
    </row>
    <row r="27" spans="2:13" ht="20.149999999999999" customHeight="1" x14ac:dyDescent="0.45">
      <c r="B27" s="29"/>
      <c r="C27" s="212" t="s">
        <v>966</v>
      </c>
      <c r="D27" s="487" t="str">
        <f>VLOOKUP(C27,'Sales Master'!B$3:D$537,2,)</f>
        <v>Coconut Milk 椰浆</v>
      </c>
      <c r="E27" s="487"/>
      <c r="F27" s="487"/>
      <c r="G27" s="76">
        <v>2</v>
      </c>
      <c r="H27" s="186" t="str">
        <f>VLOOKUP(C27,'Sales Master'!$B$3:$F$2420,5,0)</f>
        <v>(1L x 12bag)/箱</v>
      </c>
      <c r="I27" s="484" t="str">
        <f>VLOOKUP(C27,'Sales Master'!$B$3:$E$2420,4,0)</f>
        <v>Kara UHT</v>
      </c>
      <c r="J27" s="484"/>
      <c r="K27" s="30">
        <f>VLOOKUP(C27,'Sales Master'!$B$3:$CO$537,92,0)</f>
        <v>54</v>
      </c>
      <c r="L27" s="64">
        <f>K27*G27</f>
        <v>108</v>
      </c>
    </row>
    <row r="28" spans="2:13" ht="20.149999999999999" customHeight="1" x14ac:dyDescent="0.45">
      <c r="B28" s="29"/>
      <c r="C28" s="212" t="s">
        <v>1253</v>
      </c>
      <c r="D28" s="487" t="str">
        <f>VLOOKUP(C28,'Sales Master'!B$3:D$537,2,)</f>
        <v>Corn Cream 玉米浆</v>
      </c>
      <c r="E28" s="487"/>
      <c r="F28" s="487"/>
      <c r="G28" s="76">
        <v>1</v>
      </c>
      <c r="H28" s="186" t="str">
        <f>VLOOKUP(C28,'Sales Master'!$B$3:$F$2420,5,0)</f>
        <v>24 CAN/ Ctn</v>
      </c>
      <c r="I28" s="484" t="str">
        <f>VLOOKUP(C28,'Sales Master'!$B$3:$E$2420,4,0)</f>
        <v>Golden Boy</v>
      </c>
      <c r="J28" s="484"/>
      <c r="K28" s="30">
        <f>VLOOKUP(C28,'Sales Master'!$B$3:$CO$537,92,0)</f>
        <v>20.5</v>
      </c>
      <c r="L28" s="64">
        <f>K28*G28</f>
        <v>20.5</v>
      </c>
    </row>
    <row r="29" spans="2:13" ht="20.149999999999999" customHeight="1" x14ac:dyDescent="0.45">
      <c r="B29" s="29"/>
      <c r="C29" s="212" t="s">
        <v>987</v>
      </c>
      <c r="D29" s="487" t="str">
        <f>VLOOKUP(C29,'Sales Master'!B$3:D$537,2,)</f>
        <v>Brown Sugar 黑糖</v>
      </c>
      <c r="E29" s="487"/>
      <c r="F29" s="487"/>
      <c r="G29" s="76">
        <v>2</v>
      </c>
      <c r="H29" s="186" t="str">
        <f>VLOOKUP(C29,'Sales Master'!$B$3:$F$2420,5,0)</f>
        <v>6 KG</v>
      </c>
      <c r="I29" s="484" t="str">
        <f>VLOOKUP(C29,'Sales Master'!$B$3:$E$2420,4,0)</f>
        <v>Star</v>
      </c>
      <c r="J29" s="484"/>
      <c r="K29" s="30">
        <f>VLOOKUP(C29,'Sales Master'!$B$3:$CO$537,92,0)</f>
        <v>15</v>
      </c>
      <c r="L29" s="64">
        <f>K29*G29</f>
        <v>30</v>
      </c>
    </row>
    <row r="30" spans="2:13" ht="20.149999999999999" customHeight="1" x14ac:dyDescent="0.45">
      <c r="B30" s="29"/>
      <c r="C30" s="212"/>
      <c r="G30" s="76"/>
      <c r="H30" s="186"/>
      <c r="I30" s="208"/>
      <c r="J30" s="208"/>
      <c r="K30" s="30"/>
      <c r="L30" s="64"/>
    </row>
    <row r="31" spans="2:13" ht="20.149999999999999" customHeight="1" x14ac:dyDescent="0.45">
      <c r="B31" s="29"/>
      <c r="C31" s="17"/>
      <c r="D31" s="487"/>
      <c r="E31" s="487"/>
      <c r="F31" s="487"/>
      <c r="G31" s="76"/>
      <c r="H31" s="186"/>
      <c r="I31" s="484"/>
      <c r="J31" s="484"/>
      <c r="K31" s="30"/>
      <c r="L31" s="64"/>
    </row>
    <row r="32" spans="2:13" ht="20.149999999999999" customHeight="1" thickBot="1" x14ac:dyDescent="0.5">
      <c r="B32" s="32"/>
      <c r="C32" s="33"/>
      <c r="D32" s="488"/>
      <c r="E32" s="488"/>
      <c r="F32" s="488"/>
      <c r="G32" s="33"/>
      <c r="H32" s="57"/>
      <c r="I32" s="459"/>
      <c r="J32" s="459"/>
      <c r="K32" s="34"/>
      <c r="L32" s="35"/>
    </row>
    <row r="33" spans="2:13" ht="20.149999999999999" customHeight="1" thickBot="1" x14ac:dyDescent="0.5">
      <c r="B33" s="36"/>
      <c r="L33" s="37"/>
    </row>
    <row r="34" spans="2:13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89" t="s">
        <v>13</v>
      </c>
      <c r="K34" s="490"/>
      <c r="L34" s="38">
        <f>SUM(L14:L32)</f>
        <v>370.5</v>
      </c>
      <c r="M34" s="63">
        <f>SUM(P18:P32)</f>
        <v>0</v>
      </c>
    </row>
    <row r="35" spans="2:13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3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91" t="s">
        <v>19</v>
      </c>
      <c r="K36" s="492"/>
      <c r="L36" s="41">
        <f>L34-L35</f>
        <v>370.5</v>
      </c>
    </row>
    <row r="37" spans="2:13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33.344999999999999</v>
      </c>
    </row>
    <row r="38" spans="2:13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85" t="s">
        <v>21</v>
      </c>
      <c r="K38" s="486"/>
      <c r="L38" s="43">
        <f>L36+L37</f>
        <v>403.84500000000003</v>
      </c>
    </row>
    <row r="39" spans="2:13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3" ht="20.149999999999999" customHeight="1" x14ac:dyDescent="0.45">
      <c r="B40" s="36"/>
      <c r="L40" s="37"/>
    </row>
    <row r="41" spans="2:13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x14ac:dyDescent="0.45">
      <c r="B44" s="44"/>
      <c r="C44" s="45"/>
      <c r="D44" s="45"/>
      <c r="J44" s="45"/>
      <c r="K44" s="45"/>
      <c r="L44" s="46"/>
    </row>
    <row r="45" spans="2:13" ht="20.149999999999999" customHeight="1" x14ac:dyDescent="0.45">
      <c r="B45" s="36" t="s">
        <v>25</v>
      </c>
      <c r="J45" s="19" t="s">
        <v>26</v>
      </c>
      <c r="L45" s="37"/>
    </row>
    <row r="46" spans="2:13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46">
    <mergeCell ref="D32:F32"/>
    <mergeCell ref="I32:J32"/>
    <mergeCell ref="D24:F24"/>
    <mergeCell ref="D28:F28"/>
    <mergeCell ref="D31:F31"/>
    <mergeCell ref="I28:J28"/>
    <mergeCell ref="D29:F29"/>
    <mergeCell ref="D27:F27"/>
    <mergeCell ref="I24:J24"/>
    <mergeCell ref="J38:K38"/>
    <mergeCell ref="J34:K34"/>
    <mergeCell ref="J36:K36"/>
    <mergeCell ref="I21:J21"/>
    <mergeCell ref="I23:J23"/>
    <mergeCell ref="I22:J22"/>
    <mergeCell ref="I27:J27"/>
    <mergeCell ref="I31:J31"/>
    <mergeCell ref="I29:J2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D26:F26"/>
    <mergeCell ref="I26:J26"/>
    <mergeCell ref="I25:J25"/>
    <mergeCell ref="D25:F25"/>
    <mergeCell ref="I17:J17"/>
    <mergeCell ref="D18:F18"/>
    <mergeCell ref="I18:J18"/>
    <mergeCell ref="D22:F22"/>
    <mergeCell ref="D19:F19"/>
    <mergeCell ref="I19:J19"/>
    <mergeCell ref="D23:F23"/>
    <mergeCell ref="D20:F20"/>
    <mergeCell ref="D21:F21"/>
    <mergeCell ref="I20:J20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9EB50-AD33-4464-9F33-F5D053AEA08E}">
  <sheetPr codeName="Sheet123">
    <tabColor rgb="FFFFC000"/>
    <pageSetUpPr fitToPage="1"/>
  </sheetPr>
  <dimension ref="B1:P40"/>
  <sheetViews>
    <sheetView topLeftCell="A7" workbookViewId="0">
      <selection activeCell="I20" sqref="I20:J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111</v>
      </c>
      <c r="J10" s="24" t="s">
        <v>27</v>
      </c>
      <c r="K10" s="464">
        <v>202410623</v>
      </c>
      <c r="L10" s="465"/>
    </row>
    <row r="11" spans="2:12" ht="20.149999999999999" customHeight="1" x14ac:dyDescent="0.45">
      <c r="B11" s="466" t="s">
        <v>1082</v>
      </c>
      <c r="C11" s="467"/>
      <c r="D11" s="468"/>
      <c r="E11" s="25"/>
      <c r="F11" s="469" t="str">
        <f>VLOOKUP(H10,'Delivery Location'!A$4:N$466,2,0)</f>
        <v>S111 Pte Ltd                                             26A, Kallang Place. Singapore 339212</v>
      </c>
      <c r="G11" s="470"/>
      <c r="H11" s="471"/>
      <c r="J11" s="26" t="s">
        <v>9</v>
      </c>
      <c r="K11" s="478">
        <v>45593</v>
      </c>
      <c r="L11" s="479"/>
    </row>
    <row r="12" spans="2:12" ht="20.149999999999999" customHeight="1" x14ac:dyDescent="0.45">
      <c r="B12" s="480" t="s">
        <v>362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536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451</v>
      </c>
      <c r="L13" s="483"/>
    </row>
    <row r="14" spans="2:12" ht="20.149999999999999" customHeight="1" x14ac:dyDescent="0.45">
      <c r="B14" s="480" t="s">
        <v>537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08" t="s">
        <v>363</v>
      </c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2115</v>
      </c>
      <c r="D18" s="487" t="str">
        <f>VLOOKUP(C18,'Sales Master'!B$3:D$537,2,)</f>
        <v>Chin Chow  仙草</v>
      </c>
      <c r="E18" s="487"/>
      <c r="F18" s="487"/>
      <c r="G18" s="76">
        <v>16</v>
      </c>
      <c r="H18" s="186" t="str">
        <f>VLOOKUP(C18,'Sales Master'!$B$3:$F$2488,5,0)</f>
        <v>1 KG/ Pkt包</v>
      </c>
      <c r="I18" s="484" t="str">
        <f>VLOOKUP(C18,'Sales Master'!$B$3:$E$2488,4,0)</f>
        <v>TSM</v>
      </c>
      <c r="J18" s="484"/>
      <c r="K18" s="80">
        <f>VLOOKUP(C18,'Sales Master'!B$3:S$537,18,0)</f>
        <v>1.5</v>
      </c>
      <c r="L18" s="64">
        <f>K18*G18</f>
        <v>24</v>
      </c>
      <c r="M18" s="65"/>
      <c r="N18" s="145">
        <f>VLOOKUP(C18,'Sales Master'!$B$3:$DA$2279,104,0)</f>
        <v>1</v>
      </c>
      <c r="O18" s="145">
        <f>K18-N18</f>
        <v>0.5</v>
      </c>
      <c r="P18" s="145">
        <f>O18*G18</f>
        <v>8</v>
      </c>
    </row>
    <row r="19" spans="2:16" ht="20.149999999999999" customHeight="1" x14ac:dyDescent="0.45">
      <c r="B19" s="29"/>
      <c r="C19" s="17"/>
      <c r="D19" s="487"/>
      <c r="E19" s="487"/>
      <c r="F19" s="487"/>
      <c r="G19" s="76"/>
      <c r="H19" s="56"/>
      <c r="I19" s="494"/>
      <c r="J19" s="494"/>
      <c r="K19" s="80"/>
      <c r="L19" s="64"/>
      <c r="M19" s="65"/>
    </row>
    <row r="20" spans="2:16" ht="20.149999999999999" customHeight="1" x14ac:dyDescent="0.45">
      <c r="B20" s="29"/>
      <c r="C20" s="17"/>
      <c r="G20" s="76"/>
      <c r="H20" s="56"/>
      <c r="I20" s="494"/>
      <c r="J20" s="494"/>
      <c r="K20" s="80"/>
      <c r="L20" s="64"/>
      <c r="M20" s="65"/>
    </row>
    <row r="21" spans="2:16" ht="20.149999999999999" customHeight="1" x14ac:dyDescent="0.45">
      <c r="B21" s="29"/>
      <c r="C21" s="17"/>
      <c r="G21" s="76"/>
      <c r="H21" s="56"/>
      <c r="I21" s="494"/>
      <c r="J21" s="494"/>
      <c r="K21" s="80"/>
      <c r="L21" s="64"/>
      <c r="M21" s="65"/>
    </row>
    <row r="22" spans="2:16" ht="20.149999999999999" customHeight="1" x14ac:dyDescent="0.45">
      <c r="B22" s="29"/>
      <c r="C22" s="17"/>
      <c r="G22" s="76"/>
      <c r="H22" s="56"/>
      <c r="I22" s="494"/>
      <c r="J22" s="494"/>
      <c r="K22" s="80"/>
      <c r="L22" s="64"/>
      <c r="M22" s="65"/>
    </row>
    <row r="23" spans="2:16" ht="20.149999999999999" customHeight="1" x14ac:dyDescent="0.45">
      <c r="B23" s="29"/>
      <c r="C23" s="17"/>
      <c r="D23" s="487"/>
      <c r="E23" s="487"/>
      <c r="F23" s="487"/>
      <c r="G23" s="17"/>
      <c r="H23" s="56"/>
      <c r="I23" s="494"/>
      <c r="J23" s="494"/>
      <c r="K23" s="80"/>
      <c r="L23" s="64"/>
      <c r="M23" s="65"/>
    </row>
    <row r="24" spans="2:16" ht="20.149999999999999" customHeight="1" x14ac:dyDescent="0.45">
      <c r="B24" s="29"/>
      <c r="C24" s="17"/>
      <c r="D24" s="487"/>
      <c r="E24" s="487"/>
      <c r="F24" s="487"/>
      <c r="G24" s="17"/>
      <c r="H24" s="56"/>
      <c r="I24" s="494"/>
      <c r="J24" s="494"/>
      <c r="K24" s="80"/>
      <c r="L24" s="64"/>
      <c r="M24" s="65"/>
    </row>
    <row r="25" spans="2:16" ht="20.149999999999999" customHeight="1" x14ac:dyDescent="0.45">
      <c r="B25" s="29"/>
      <c r="C25" s="17"/>
      <c r="D25" s="487"/>
      <c r="E25" s="487"/>
      <c r="F25" s="487"/>
      <c r="G25" s="17"/>
      <c r="H25" s="56"/>
      <c r="I25" s="494"/>
      <c r="J25" s="494"/>
      <c r="K25" s="80"/>
      <c r="L25" s="64"/>
      <c r="M25" s="65"/>
    </row>
    <row r="26" spans="2:16" ht="20.149999999999999" customHeight="1" thickBot="1" x14ac:dyDescent="0.5">
      <c r="B26" s="32"/>
      <c r="C26" s="33"/>
      <c r="D26" s="488"/>
      <c r="E26" s="488"/>
      <c r="F26" s="488"/>
      <c r="G26" s="33"/>
      <c r="H26" s="57"/>
      <c r="I26" s="459"/>
      <c r="J26" s="459"/>
      <c r="K26" s="34"/>
      <c r="L26" s="35"/>
    </row>
    <row r="27" spans="2:16" ht="20.149999999999999" customHeight="1" thickBot="1" x14ac:dyDescent="0.5">
      <c r="B27" s="36"/>
      <c r="L27" s="37"/>
    </row>
    <row r="28" spans="2:16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89" t="s">
        <v>13</v>
      </c>
      <c r="K28" s="490"/>
      <c r="L28" s="38">
        <f>SUM(L17:L25)</f>
        <v>24</v>
      </c>
      <c r="M28" s="63">
        <f>SUM(P18:P26)</f>
        <v>8</v>
      </c>
      <c r="N28" s="133">
        <f>M28/L28</f>
        <v>0.33333333333333331</v>
      </c>
    </row>
    <row r="29" spans="2:16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6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91" t="s">
        <v>19</v>
      </c>
      <c r="K30" s="492"/>
      <c r="L30" s="41">
        <f>L28-L29</f>
        <v>24</v>
      </c>
    </row>
    <row r="31" spans="2:16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2.16</v>
      </c>
    </row>
    <row r="32" spans="2:16" ht="20.149999999999999" customHeight="1" thickBot="1" x14ac:dyDescent="0.5">
      <c r="B32" s="10" t="s">
        <v>23</v>
      </c>
      <c r="C32" s="6"/>
      <c r="D32" s="6"/>
      <c r="E32" s="6"/>
      <c r="F32" s="6"/>
      <c r="G32" s="6"/>
      <c r="H32" s="6"/>
      <c r="I32" s="6"/>
      <c r="J32" s="485" t="s">
        <v>21</v>
      </c>
      <c r="K32" s="486"/>
      <c r="L32" s="43">
        <f>L30+L31</f>
        <v>26.16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</sheetData>
  <mergeCells count="33">
    <mergeCell ref="J32:K32"/>
    <mergeCell ref="D26:F26"/>
    <mergeCell ref="I26:J26"/>
    <mergeCell ref="J28:K28"/>
    <mergeCell ref="J30:K30"/>
    <mergeCell ref="D23:F23"/>
    <mergeCell ref="I23:J23"/>
    <mergeCell ref="D25:F25"/>
    <mergeCell ref="I25:J25"/>
    <mergeCell ref="D24:F24"/>
    <mergeCell ref="I24:J24"/>
    <mergeCell ref="D17:F17"/>
    <mergeCell ref="I17:J17"/>
    <mergeCell ref="D18:F18"/>
    <mergeCell ref="I18:J18"/>
    <mergeCell ref="I22:J22"/>
    <mergeCell ref="D19:F19"/>
    <mergeCell ref="I19:J19"/>
    <mergeCell ref="I20:J20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D3DF4-7DE8-41B1-A0FC-E0A463BC30DA}">
  <sheetPr>
    <tabColor rgb="FF7030A0"/>
    <pageSetUpPr fitToPage="1"/>
  </sheetPr>
  <dimension ref="B1:V47"/>
  <sheetViews>
    <sheetView topLeftCell="A29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1985</v>
      </c>
      <c r="J10" s="24" t="s">
        <v>27</v>
      </c>
      <c r="K10" s="464">
        <v>202410562</v>
      </c>
      <c r="L10" s="465"/>
    </row>
    <row r="11" spans="2:14" ht="20.149999999999999" customHeight="1" x14ac:dyDescent="0.45">
      <c r="B11" s="466" t="s">
        <v>1996</v>
      </c>
      <c r="C11" s="467"/>
      <c r="D11" s="468"/>
      <c r="E11" s="25"/>
      <c r="F11" s="469" t="str">
        <f>VLOOKUP(H10,'Delivery Location'!A$4:N$466,2,0)</f>
        <v>Zuya Vegetarian Cafe                                      6 Raffles Boulevard #02-223,      Marina Square Mall,                       Singapore 039594</v>
      </c>
      <c r="G11" s="470"/>
      <c r="H11" s="471"/>
      <c r="J11" s="26" t="s">
        <v>9</v>
      </c>
      <c r="K11" s="478">
        <v>45590</v>
      </c>
      <c r="L11" s="479"/>
    </row>
    <row r="12" spans="2:14" ht="20.149999999999999" customHeight="1" x14ac:dyDescent="0.45">
      <c r="B12" s="480" t="s">
        <v>1997</v>
      </c>
      <c r="C12" s="453"/>
      <c r="D12" s="481"/>
      <c r="E12" s="25"/>
      <c r="F12" s="472"/>
      <c r="G12" s="473"/>
      <c r="H12" s="474"/>
      <c r="J12" s="26" t="s">
        <v>127</v>
      </c>
      <c r="K12" s="500" t="s">
        <v>34</v>
      </c>
      <c r="L12" s="483"/>
    </row>
    <row r="13" spans="2:14" ht="20.149999999999999" customHeight="1" x14ac:dyDescent="0.45">
      <c r="B13" s="594" t="s">
        <v>1998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2109</v>
      </c>
      <c r="L13" s="483"/>
    </row>
    <row r="14" spans="2:14" ht="20.149999999999999" customHeight="1" x14ac:dyDescent="0.45">
      <c r="B14" s="480" t="s">
        <v>1999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508" t="s">
        <v>2000</v>
      </c>
      <c r="C15" s="509"/>
      <c r="D15" s="510"/>
      <c r="E15" s="21"/>
      <c r="F15" s="475"/>
      <c r="G15" s="476"/>
      <c r="H15" s="477"/>
      <c r="J15" s="27" t="s">
        <v>11</v>
      </c>
      <c r="K15" s="119" t="s">
        <v>587</v>
      </c>
      <c r="L15" s="118"/>
    </row>
    <row r="16" spans="2:14" ht="19" thickBot="1" x14ac:dyDescent="0.5">
      <c r="J16" s="17"/>
      <c r="N16" s="93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x14ac:dyDescent="0.45">
      <c r="B18" s="259"/>
      <c r="C18" s="212" t="s">
        <v>972</v>
      </c>
      <c r="D18" s="487" t="str">
        <f>VLOOKUP(C18,'Sales Master'!B$3:D$537,2,)</f>
        <v>Calamansi Juice 酸柑水</v>
      </c>
      <c r="E18" s="487"/>
      <c r="F18" s="487"/>
      <c r="G18" s="76">
        <v>2</v>
      </c>
      <c r="H18" s="209" t="str">
        <f>VLOOKUP(C18,'Sales Master'!$B$3:$F$2420,5,0)</f>
        <v>4 LT</v>
      </c>
      <c r="I18" s="568" t="str">
        <f>VLOOKUP(C18,'Sales Master'!$B$3:$E$2420,4,0)</f>
        <v>-</v>
      </c>
      <c r="J18" s="568"/>
      <c r="K18" s="83">
        <f>VLOOKUP(C18,'Sales Master'!B$3:CL$682,89,0)</f>
        <v>32</v>
      </c>
      <c r="L18" s="84">
        <f>K18*G18</f>
        <v>64</v>
      </c>
      <c r="M18" s="65"/>
      <c r="N18" s="145">
        <f>VLOOKUP(C18,'Sales Master'!$B$3:$DA$2279,104,0)</f>
        <v>27</v>
      </c>
      <c r="O18" s="145">
        <f t="shared" ref="O18" si="0">K18-N18</f>
        <v>5</v>
      </c>
      <c r="P18" s="145">
        <f>O18*G18</f>
        <v>10</v>
      </c>
      <c r="R18" s="19">
        <v>2</v>
      </c>
      <c r="S18" s="19" t="s">
        <v>34</v>
      </c>
      <c r="T18" s="19" t="s">
        <v>59</v>
      </c>
      <c r="V18" s="19">
        <v>6</v>
      </c>
    </row>
    <row r="19" spans="2:22" x14ac:dyDescent="0.45">
      <c r="B19" s="362"/>
      <c r="C19" s="212" t="s">
        <v>973</v>
      </c>
      <c r="D19" s="487" t="str">
        <f>VLOOKUP(C19,'Sales Master'!B$3:D$537,2,)</f>
        <v>Sour Plum Juice 酸梅水</v>
      </c>
      <c r="E19" s="487"/>
      <c r="F19" s="487"/>
      <c r="G19" s="76">
        <v>2</v>
      </c>
      <c r="H19" s="209" t="str">
        <f>VLOOKUP(C19,'Sales Master'!$B$3:$F$2420,5,0)</f>
        <v>4 LT</v>
      </c>
      <c r="I19" s="568" t="str">
        <f>VLOOKUP(C19,'Sales Master'!$B$3:$E$2420,4,0)</f>
        <v>-</v>
      </c>
      <c r="J19" s="568"/>
      <c r="K19" s="83">
        <f>VLOOKUP(C19,'Sales Master'!B$3:CL$682,89,0)</f>
        <v>32</v>
      </c>
      <c r="L19" s="84">
        <f>K19*G19</f>
        <v>64</v>
      </c>
      <c r="M19" s="65"/>
      <c r="N19" s="145">
        <f>VLOOKUP(C19,'Sales Master'!$B$3:$DA$2279,104,0)</f>
        <v>27</v>
      </c>
      <c r="O19" s="145">
        <f>K19-N19</f>
        <v>5</v>
      </c>
      <c r="P19" s="145">
        <f>O19*G19</f>
        <v>10</v>
      </c>
    </row>
    <row r="20" spans="2:22" ht="20.149999999999999" customHeight="1" x14ac:dyDescent="0.45">
      <c r="B20" s="259"/>
      <c r="C20" s="212" t="s">
        <v>980</v>
      </c>
      <c r="D20" s="487" t="str">
        <f>VLOOKUP(C20,'Sales Master'!B$3:D$537,2,)</f>
        <v>Wheat Grass 小麦草</v>
      </c>
      <c r="E20" s="487"/>
      <c r="F20" s="487"/>
      <c r="G20" s="76">
        <v>1</v>
      </c>
      <c r="H20" s="209" t="str">
        <f>VLOOKUP(C20,'Sales Master'!$B$3:$F$2420,5,0)</f>
        <v>4 LT</v>
      </c>
      <c r="I20" s="568" t="str">
        <f>VLOOKUP(C20,'Sales Master'!$B$3:$E$2420,4,0)</f>
        <v>-</v>
      </c>
      <c r="J20" s="568"/>
      <c r="K20" s="83">
        <f>VLOOKUP(C20,'Sales Master'!B$3:CL$682,89,0)</f>
        <v>32</v>
      </c>
      <c r="L20" s="84">
        <f t="shared" ref="L20" si="1">K20*G20</f>
        <v>32</v>
      </c>
      <c r="M20" s="65"/>
      <c r="N20" s="145">
        <f>VLOOKUP(C20,'Sales Master'!$B$3:$DA$2279,104,0)</f>
        <v>27</v>
      </c>
      <c r="O20" s="145">
        <f t="shared" ref="O20" si="2">K20-N20</f>
        <v>5</v>
      </c>
      <c r="P20" s="145">
        <f t="shared" ref="P20" si="3">O20*G20</f>
        <v>5</v>
      </c>
    </row>
    <row r="21" spans="2:22" ht="20.149999999999999" customHeight="1" x14ac:dyDescent="0.45">
      <c r="B21" s="58"/>
      <c r="C21" s="212"/>
      <c r="D21" s="487"/>
      <c r="E21" s="487"/>
      <c r="F21" s="487"/>
      <c r="G21" s="76"/>
      <c r="H21" s="209"/>
      <c r="I21" s="568"/>
      <c r="J21" s="568"/>
      <c r="K21" s="83"/>
      <c r="L21" s="84"/>
      <c r="M21" s="65"/>
      <c r="N21" s="145"/>
      <c r="O21" s="145"/>
      <c r="P21" s="145"/>
    </row>
    <row r="22" spans="2:22" ht="20.149999999999999" customHeight="1" x14ac:dyDescent="0.45">
      <c r="B22" s="259"/>
      <c r="C22" s="212"/>
      <c r="D22" s="487"/>
      <c r="E22" s="487"/>
      <c r="F22" s="487"/>
      <c r="G22" s="76"/>
      <c r="H22" s="209"/>
      <c r="I22" s="568"/>
      <c r="J22" s="568"/>
      <c r="K22" s="83"/>
      <c r="L22" s="84"/>
      <c r="M22" s="65"/>
      <c r="N22" s="145"/>
      <c r="O22" s="145"/>
      <c r="P22" s="145"/>
    </row>
    <row r="23" spans="2:22" ht="20.149999999999999" customHeight="1" x14ac:dyDescent="0.45">
      <c r="B23" s="259"/>
      <c r="C23" s="212"/>
      <c r="D23" s="487"/>
      <c r="E23" s="487"/>
      <c r="F23" s="487"/>
      <c r="G23" s="76"/>
      <c r="H23" s="209"/>
      <c r="I23" s="568"/>
      <c r="J23" s="568"/>
      <c r="K23" s="83"/>
      <c r="L23" s="84"/>
      <c r="M23" s="65"/>
      <c r="N23" s="145"/>
      <c r="O23" s="145"/>
      <c r="P23" s="145"/>
    </row>
    <row r="24" spans="2:22" ht="20.149999999999999" customHeight="1" x14ac:dyDescent="0.45">
      <c r="B24" s="259"/>
      <c r="C24" s="212"/>
      <c r="D24" s="524"/>
      <c r="E24" s="524"/>
      <c r="F24" s="524"/>
      <c r="G24" s="76"/>
      <c r="H24" s="209"/>
      <c r="I24" s="568"/>
      <c r="J24" s="568"/>
      <c r="K24" s="83"/>
      <c r="L24" s="84"/>
      <c r="M24" s="65"/>
      <c r="N24" s="145"/>
      <c r="O24" s="145"/>
      <c r="P24" s="145"/>
    </row>
    <row r="25" spans="2:22" ht="20.149999999999999" customHeight="1" x14ac:dyDescent="0.45">
      <c r="B25" s="58"/>
      <c r="C25" s="212"/>
      <c r="D25" s="487"/>
      <c r="E25" s="487"/>
      <c r="F25" s="487"/>
      <c r="G25" s="17"/>
      <c r="H25" s="209"/>
      <c r="I25" s="568"/>
      <c r="J25" s="568"/>
      <c r="K25" s="83"/>
      <c r="L25" s="84"/>
      <c r="M25" s="65"/>
      <c r="N25" s="145"/>
      <c r="O25" s="145"/>
      <c r="P25" s="145"/>
    </row>
    <row r="26" spans="2:22" ht="20.149999999999999" customHeight="1" x14ac:dyDescent="0.45">
      <c r="B26" s="259"/>
      <c r="C26" s="212"/>
      <c r="D26" s="487"/>
      <c r="E26" s="487"/>
      <c r="F26" s="487"/>
      <c r="G26" s="17"/>
      <c r="H26" s="209"/>
      <c r="I26" s="568"/>
      <c r="J26" s="568"/>
      <c r="K26" s="83"/>
      <c r="L26" s="84"/>
      <c r="M26" s="65"/>
      <c r="N26" s="145"/>
      <c r="O26" s="145"/>
      <c r="P26" s="145"/>
    </row>
    <row r="27" spans="2:22" ht="20.149999999999999" customHeight="1" x14ac:dyDescent="0.45">
      <c r="B27" s="259"/>
      <c r="C27" s="212"/>
      <c r="D27" s="487"/>
      <c r="E27" s="487"/>
      <c r="F27" s="487"/>
      <c r="G27" s="76"/>
      <c r="H27" s="209"/>
      <c r="I27" s="568"/>
      <c r="J27" s="568"/>
      <c r="K27" s="83"/>
      <c r="L27" s="84"/>
      <c r="M27" s="65"/>
      <c r="N27" s="145"/>
      <c r="O27" s="145"/>
      <c r="P27" s="145"/>
    </row>
    <row r="28" spans="2:22" ht="20.149999999999999" customHeight="1" x14ac:dyDescent="0.45">
      <c r="B28" s="259"/>
      <c r="C28" s="212"/>
      <c r="D28" s="487"/>
      <c r="E28" s="487"/>
      <c r="F28" s="487"/>
      <c r="G28" s="76"/>
      <c r="H28" s="209"/>
      <c r="I28" s="568"/>
      <c r="J28" s="568"/>
      <c r="K28" s="83"/>
      <c r="L28" s="84"/>
      <c r="M28" s="65"/>
      <c r="N28" s="145"/>
      <c r="O28" s="145"/>
      <c r="P28" s="145"/>
    </row>
    <row r="29" spans="2:22" ht="20.149999999999999" customHeight="1" x14ac:dyDescent="0.45">
      <c r="B29" s="259"/>
      <c r="C29" s="212"/>
      <c r="D29" s="487"/>
      <c r="E29" s="487"/>
      <c r="F29" s="487"/>
      <c r="G29" s="76"/>
      <c r="H29" s="209"/>
      <c r="I29" s="568"/>
      <c r="J29" s="568"/>
      <c r="K29" s="83"/>
      <c r="L29" s="84"/>
      <c r="M29" s="65"/>
      <c r="N29" s="145"/>
      <c r="O29" s="145"/>
      <c r="P29" s="145"/>
    </row>
    <row r="30" spans="2:22" ht="20.149999999999999" customHeight="1" x14ac:dyDescent="0.45">
      <c r="B30" s="58"/>
      <c r="C30" s="212"/>
      <c r="D30" s="487"/>
      <c r="E30" s="487"/>
      <c r="F30" s="487"/>
      <c r="G30" s="17"/>
      <c r="H30" s="209"/>
      <c r="I30" s="568"/>
      <c r="J30" s="568"/>
      <c r="K30" s="83"/>
      <c r="L30" s="84"/>
      <c r="M30" s="65"/>
      <c r="N30" s="145"/>
      <c r="O30" s="145"/>
      <c r="P30" s="145"/>
    </row>
    <row r="31" spans="2:22" ht="20.149999999999999" customHeight="1" x14ac:dyDescent="0.45">
      <c r="B31" s="58"/>
      <c r="C31" s="17"/>
      <c r="D31" s="487"/>
      <c r="E31" s="487"/>
      <c r="F31" s="487"/>
      <c r="G31" s="76"/>
      <c r="H31" s="56"/>
      <c r="I31" s="494"/>
      <c r="J31" s="494"/>
      <c r="K31" s="83"/>
      <c r="L31" s="84"/>
    </row>
    <row r="32" spans="2:22" ht="20.149999999999999" customHeight="1" x14ac:dyDescent="0.45">
      <c r="B32" s="58"/>
      <c r="C32" s="17"/>
      <c r="D32" s="487"/>
      <c r="E32" s="487"/>
      <c r="F32" s="487"/>
      <c r="G32" s="76"/>
      <c r="H32" s="56"/>
      <c r="I32" s="494"/>
      <c r="J32" s="494"/>
      <c r="K32" s="83"/>
      <c r="L32" s="84"/>
    </row>
    <row r="33" spans="2:14" ht="20.149999999999999" customHeight="1" x14ac:dyDescent="0.45">
      <c r="B33" s="58"/>
      <c r="C33" s="17"/>
      <c r="D33" s="487"/>
      <c r="E33" s="487"/>
      <c r="F33" s="487"/>
      <c r="G33" s="76"/>
      <c r="H33" s="56"/>
      <c r="I33" s="494"/>
      <c r="J33" s="494"/>
      <c r="K33" s="83"/>
      <c r="L33" s="84"/>
    </row>
    <row r="34" spans="2:14" ht="20.149999999999999" customHeight="1" thickBot="1" x14ac:dyDescent="0.5">
      <c r="B34" s="47"/>
      <c r="C34" s="48"/>
      <c r="D34" s="48"/>
      <c r="E34" s="48"/>
      <c r="F34" s="48"/>
      <c r="G34" s="48"/>
      <c r="H34" s="48"/>
      <c r="I34" s="48"/>
      <c r="J34" s="48"/>
      <c r="K34" s="48"/>
      <c r="L34" s="49"/>
    </row>
    <row r="35" spans="2:14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89" t="s">
        <v>13</v>
      </c>
      <c r="K35" s="490"/>
      <c r="L35" s="38">
        <f>SUM(L18:L34)</f>
        <v>160</v>
      </c>
      <c r="M35" s="63">
        <f>SUM(P18:P34)</f>
        <v>25</v>
      </c>
      <c r="N35" s="133">
        <f>M35/L35</f>
        <v>0.15625</v>
      </c>
    </row>
    <row r="36" spans="2:14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v>0</v>
      </c>
    </row>
    <row r="37" spans="2:14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91" t="s">
        <v>19</v>
      </c>
      <c r="K37" s="492"/>
      <c r="L37" s="41">
        <f>L35-L36</f>
        <v>160</v>
      </c>
    </row>
    <row r="38" spans="2:14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14.399999999999999</v>
      </c>
    </row>
    <row r="39" spans="2:14" ht="20.149999999999999" customHeight="1" thickBot="1" x14ac:dyDescent="0.5">
      <c r="B39" s="10" t="s">
        <v>676</v>
      </c>
      <c r="C39" s="6"/>
      <c r="D39" s="6"/>
      <c r="E39" s="6"/>
      <c r="F39" s="6"/>
      <c r="G39" s="6"/>
      <c r="H39" s="6"/>
      <c r="I39" s="6"/>
      <c r="J39" s="485" t="s">
        <v>21</v>
      </c>
      <c r="K39" s="486"/>
      <c r="L39" s="43">
        <f>L37+L38</f>
        <v>174.4</v>
      </c>
    </row>
    <row r="40" spans="2:14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4" ht="20.149999999999999" customHeight="1" x14ac:dyDescent="0.45">
      <c r="B41" s="144" t="s">
        <v>666</v>
      </c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44"/>
      <c r="C45" s="45"/>
      <c r="D45" s="45"/>
      <c r="J45" s="45"/>
      <c r="K45" s="45"/>
      <c r="L45" s="46"/>
    </row>
    <row r="46" spans="2:14" ht="20.149999999999999" customHeight="1" x14ac:dyDescent="0.45">
      <c r="B46" s="36" t="s">
        <v>25</v>
      </c>
      <c r="J46" s="19" t="s">
        <v>26</v>
      </c>
      <c r="L46" s="37"/>
    </row>
    <row r="47" spans="2:14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I32:J32"/>
    <mergeCell ref="I29:J29"/>
    <mergeCell ref="D17:F17"/>
    <mergeCell ref="I17:J17"/>
    <mergeCell ref="D18:F18"/>
    <mergeCell ref="I18:J18"/>
    <mergeCell ref="D21:F21"/>
    <mergeCell ref="I21:J21"/>
    <mergeCell ref="D19:F19"/>
    <mergeCell ref="I19:J19"/>
    <mergeCell ref="D20:F20"/>
    <mergeCell ref="I20:J20"/>
    <mergeCell ref="D26:F26"/>
    <mergeCell ref="I26:J26"/>
    <mergeCell ref="I24:J24"/>
    <mergeCell ref="D22:F22"/>
    <mergeCell ref="D25:F25"/>
    <mergeCell ref="I23:J23"/>
    <mergeCell ref="I25:J25"/>
    <mergeCell ref="D23:F23"/>
    <mergeCell ref="I22:J22"/>
    <mergeCell ref="J39:K39"/>
    <mergeCell ref="D24:F24"/>
    <mergeCell ref="I33:J33"/>
    <mergeCell ref="J35:K35"/>
    <mergeCell ref="J37:K37"/>
    <mergeCell ref="I27:J27"/>
    <mergeCell ref="I31:J31"/>
    <mergeCell ref="I28:J28"/>
    <mergeCell ref="I30:J30"/>
    <mergeCell ref="D28:F28"/>
    <mergeCell ref="D27:F27"/>
    <mergeCell ref="D29:F29"/>
    <mergeCell ref="D33:F33"/>
    <mergeCell ref="D31:F31"/>
    <mergeCell ref="D30:F30"/>
    <mergeCell ref="D32:F32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77319-2AD9-486D-B6BD-C016A99D3613}">
  <sheetPr>
    <tabColor rgb="FFFFC000"/>
    <pageSetUpPr fitToPage="1"/>
  </sheetPr>
  <dimension ref="B1:V48"/>
  <sheetViews>
    <sheetView topLeftCell="A10" zoomScaleNormal="10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906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1990</v>
      </c>
      <c r="J10" s="24" t="s">
        <v>27</v>
      </c>
      <c r="K10" s="464">
        <v>202501172</v>
      </c>
      <c r="L10" s="465"/>
    </row>
    <row r="11" spans="2:14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 xml:space="preserve">FOOD REPUBLIC PTE LTD                                  City Square@Ice Shop                             180 Kitchener Road #B3-04                  Singapore 208539                                           </v>
      </c>
      <c r="G11" s="470"/>
      <c r="H11" s="471"/>
      <c r="J11" s="26" t="s">
        <v>9</v>
      </c>
      <c r="K11" s="478">
        <v>45665</v>
      </c>
      <c r="L11" s="479"/>
    </row>
    <row r="12" spans="2:14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19" t="s">
        <v>1158</v>
      </c>
    </row>
    <row r="13" spans="2:14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1272</v>
      </c>
    </row>
    <row r="14" spans="2:14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  <c r="N14" s="19" t="s">
        <v>968</v>
      </c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520704</v>
      </c>
      <c r="C18" s="212" t="str">
        <f>VLOOKUP(B18,'Sales Master'!A$3:B$537,2,0)</f>
        <v>M1014</v>
      </c>
      <c r="D18" s="487" t="str">
        <f>VLOOKUP(C18,'Sales Master'!B$3:D$537,2,)</f>
        <v>Chendol 浆咯</v>
      </c>
      <c r="E18" s="487"/>
      <c r="F18" s="487"/>
      <c r="G18" s="76">
        <v>3</v>
      </c>
      <c r="H18" s="211" t="str">
        <f>VLOOKUP(C18,'Sales Master'!$B$3:$F$2420,5,0)</f>
        <v>NW(2.2:0.8) 3kg/ Pkt包</v>
      </c>
      <c r="I18" s="513" t="str">
        <f>VLOOKUP(C18,'Sales Master'!$B$3:$E$2420,4,0)</f>
        <v>DO!</v>
      </c>
      <c r="J18" s="513"/>
      <c r="K18" s="83">
        <f>VLOOKUP(C18,'Sales Master'!B$3:I$537,8,0)</f>
        <v>7.5</v>
      </c>
      <c r="L18" s="84">
        <f t="shared" ref="L18" si="0">K18*G18</f>
        <v>22.5</v>
      </c>
      <c r="T18" s="93"/>
      <c r="U18" s="93"/>
      <c r="V18" s="93"/>
    </row>
    <row r="19" spans="2:22" ht="20.149999999999999" customHeight="1" x14ac:dyDescent="0.45">
      <c r="B19" s="58">
        <v>520695</v>
      </c>
      <c r="C19" s="212" t="str">
        <f>VLOOKUP(B19,'Sales Master'!A$3:B$537,2,0)</f>
        <v>P3001B</v>
      </c>
      <c r="D19" s="487" t="str">
        <f>VLOOKUP(C19,'Sales Master'!B$3:D$537,2,)</f>
        <v>Atap Seeds in Syrup 亚嗒子</v>
      </c>
      <c r="E19" s="487"/>
      <c r="F19" s="487"/>
      <c r="G19" s="76">
        <v>5</v>
      </c>
      <c r="H19" s="247" t="str">
        <f>VLOOKUP(C19,'Sales Master'!$B$3:$F$2420,5,0)</f>
        <v>NW(1.6:0.6) 2.2kg/ Bag包</v>
      </c>
      <c r="I19" s="513" t="str">
        <f>VLOOKUP(C19,'Sales Master'!$B$3:$E$2420,4,0)</f>
        <v>DO!</v>
      </c>
      <c r="J19" s="513"/>
      <c r="K19" s="83">
        <f>VLOOKUP(C19,'Sales Master'!B$3:I$537,8,0)</f>
        <v>10</v>
      </c>
      <c r="L19" s="84">
        <f>K19*G19</f>
        <v>50</v>
      </c>
    </row>
    <row r="20" spans="2:22" ht="20.149999999999999" customHeight="1" x14ac:dyDescent="0.45">
      <c r="B20" s="58">
        <v>520705</v>
      </c>
      <c r="C20" s="212" t="str">
        <f>VLOOKUP(B20,'Sales Master'!A$3:B$537,2,0)</f>
        <v>P3002</v>
      </c>
      <c r="D20" s="487" t="str">
        <f>VLOOKUP(C20,'Sales Master'!B$3:D$537,2,)</f>
        <v>Chin Chow  仙草</v>
      </c>
      <c r="E20" s="487"/>
      <c r="F20" s="487"/>
      <c r="G20" s="76">
        <v>2</v>
      </c>
      <c r="H20" s="247" t="str">
        <f>VLOOKUP(C20,'Sales Master'!$B$3:$F$2420,5,0)</f>
        <v>4 KG/ Pkt包</v>
      </c>
      <c r="I20" s="513" t="str">
        <f>VLOOKUP(C20,'Sales Master'!$B$3:$E$2420,4,0)</f>
        <v>TSM</v>
      </c>
      <c r="J20" s="513"/>
      <c r="K20" s="83">
        <f>VLOOKUP(C20,'Sales Master'!B$3:I$537,8,0)</f>
        <v>6</v>
      </c>
      <c r="L20" s="84">
        <f>K20*G20</f>
        <v>12</v>
      </c>
    </row>
    <row r="21" spans="2:22" ht="20.149999999999999" customHeight="1" x14ac:dyDescent="0.45">
      <c r="B21" s="58">
        <v>520721</v>
      </c>
      <c r="C21" s="212" t="str">
        <f>VLOOKUP(B21,'Sales Master'!A$3:B$537,2,0)</f>
        <v>P3004A</v>
      </c>
      <c r="D21" s="487" t="str">
        <f>VLOOKUP(C21,'Sales Master'!B$3:D$537,2,)</f>
        <v>GingKo Nut (Peel off) 白果仁</v>
      </c>
      <c r="E21" s="487"/>
      <c r="F21" s="487"/>
      <c r="G21" s="76">
        <v>2</v>
      </c>
      <c r="H21" s="247" t="str">
        <f>VLOOKUP(C21,'Sales Master'!$B$3:$F$2420,5,0)</f>
        <v>1 KG (500 GM X 2)</v>
      </c>
      <c r="I21" s="513" t="str">
        <f>VLOOKUP(C21,'Sales Master'!$B$3:$E$2420,4,0)</f>
        <v>-</v>
      </c>
      <c r="J21" s="513"/>
      <c r="K21" s="83">
        <f>VLOOKUP(C21,'Sales Master'!B$3:I$537,8,0)</f>
        <v>4.5</v>
      </c>
      <c r="L21" s="84">
        <f t="shared" ref="L21" si="1">K21*G21</f>
        <v>9</v>
      </c>
    </row>
    <row r="22" spans="2:22" ht="20.149999999999999" customHeight="1" x14ac:dyDescent="0.45">
      <c r="B22" s="58">
        <v>520738</v>
      </c>
      <c r="C22" s="212" t="str">
        <f>VLOOKUP(B22,'Sales Master'!A$3:B$537,2,0)</f>
        <v>P3005A</v>
      </c>
      <c r="D22" s="487" t="str">
        <f>VLOOKUP(C22,'Sales Master'!B$3:D$537,2,)</f>
        <v>Red Bean 红豆 (5.5 mm)</v>
      </c>
      <c r="E22" s="487"/>
      <c r="F22" s="487"/>
      <c r="G22" s="76">
        <v>2</v>
      </c>
      <c r="H22" s="247" t="str">
        <f>VLOOKUP(C22,'Sales Master'!$B$3:$F$2420,5,0)</f>
        <v>5 KG</v>
      </c>
      <c r="I22" s="513" t="str">
        <f>VLOOKUP(C22,'Sales Master'!$B$3:$E$2420,4,0)</f>
        <v>-</v>
      </c>
      <c r="J22" s="513"/>
      <c r="K22" s="83">
        <f>VLOOKUP(C22,'Sales Master'!B$3:I$537,8,0)</f>
        <v>17.5</v>
      </c>
      <c r="L22" s="84">
        <f>K22*G22</f>
        <v>35</v>
      </c>
    </row>
    <row r="23" spans="2:22" ht="20.149999999999999" customHeight="1" x14ac:dyDescent="0.45">
      <c r="B23" s="58">
        <v>520696</v>
      </c>
      <c r="C23" s="212" t="str">
        <f>VLOOKUP(B23,'Sales Master'!A$3:B$537,2,0)</f>
        <v>P3016A</v>
      </c>
      <c r="D23" s="487" t="str">
        <f>VLOOKUP(C23,'Sales Master'!B$3:D$537,2,)</f>
        <v>Pearl Barley 薏米</v>
      </c>
      <c r="E23" s="487"/>
      <c r="F23" s="487"/>
      <c r="G23" s="76">
        <v>1</v>
      </c>
      <c r="H23" s="247" t="str">
        <f>VLOOKUP(C23,'Sales Master'!$B$3:$F$2420,5,0)</f>
        <v>5 KG</v>
      </c>
      <c r="I23" s="513" t="str">
        <f>VLOOKUP(C23,'Sales Master'!$B$3:$E$2420,4,0)</f>
        <v>-</v>
      </c>
      <c r="J23" s="513"/>
      <c r="K23" s="83">
        <f>VLOOKUP(C23,'Sales Master'!B$3:I$537,8,0)</f>
        <v>10</v>
      </c>
      <c r="L23" s="84">
        <f>K23*G23</f>
        <v>10</v>
      </c>
    </row>
    <row r="24" spans="2:22" ht="20.149999999999999" customHeight="1" x14ac:dyDescent="0.45">
      <c r="B24" s="58">
        <v>520714</v>
      </c>
      <c r="C24" s="212" t="str">
        <f>VLOOKUP(B24,'Sales Master'!A$3:B$537,2,0)</f>
        <v>P3019A</v>
      </c>
      <c r="D24" s="487" t="str">
        <f>VLOOKUP(C24,'Sales Master'!B$3:D$537,2,)</f>
        <v>Dried Longan 龙眼干</v>
      </c>
      <c r="E24" s="487"/>
      <c r="F24" s="487"/>
      <c r="G24" s="76">
        <v>5</v>
      </c>
      <c r="H24" s="247" t="str">
        <f>VLOOKUP(C24,'Sales Master'!$B$3:$F$2420,5,0)</f>
        <v>1 kg/ Pkt包</v>
      </c>
      <c r="I24" s="513" t="str">
        <f>VLOOKUP(C24,'Sales Master'!$B$3:$E$2420,4,0)</f>
        <v>TL</v>
      </c>
      <c r="J24" s="513"/>
      <c r="K24" s="83">
        <f>VLOOKUP(C24,'Sales Master'!B$3:I$537,8,0)</f>
        <v>15</v>
      </c>
      <c r="L24" s="84">
        <f>K24*G24</f>
        <v>75</v>
      </c>
    </row>
    <row r="25" spans="2:22" ht="20.149999999999999" customHeight="1" x14ac:dyDescent="0.45">
      <c r="B25" s="58">
        <v>520728</v>
      </c>
      <c r="C25" s="212" t="str">
        <f>VLOOKUP(B25,'Sales Master'!A$3:B$537,2,0)</f>
        <v>P4010</v>
      </c>
      <c r="D25" s="487" t="str">
        <f>VLOOKUP(C25,'Sales Master'!B$3:D$537,2,)</f>
        <v>Lychee in Syrup 荔枝</v>
      </c>
      <c r="E25" s="487"/>
      <c r="F25" s="487"/>
      <c r="G25" s="76">
        <v>1</v>
      </c>
      <c r="H25" s="247" t="str">
        <f>VLOOKUP(C25,'Sales Master'!$B$3:$F$2420,5,0)</f>
        <v>12can/箱</v>
      </c>
      <c r="I25" s="513" t="str">
        <f>VLOOKUP(C25,'Sales Master'!$B$3:$E$2420,4,0)</f>
        <v>MiLi</v>
      </c>
      <c r="J25" s="513"/>
      <c r="K25" s="83">
        <f>VLOOKUP(C25,'Sales Master'!B$3:I$537,8,0)</f>
        <v>26.5</v>
      </c>
      <c r="L25" s="84">
        <f>K25*G25</f>
        <v>26.5</v>
      </c>
    </row>
    <row r="26" spans="2:22" ht="20.149999999999999" customHeight="1" x14ac:dyDescent="0.45">
      <c r="B26" s="58">
        <v>520719</v>
      </c>
      <c r="C26" s="212" t="str">
        <f>VLOOKUP(B26,'Sales Master'!A$3:B$537,2,0)</f>
        <v>P4013</v>
      </c>
      <c r="D26" s="487" t="str">
        <f>VLOOKUP(C26,'Sales Master'!B$3:D$537,2,)</f>
        <v>Fruit Cocktail 杂果</v>
      </c>
      <c r="E26" s="487"/>
      <c r="F26" s="487"/>
      <c r="G26" s="76">
        <v>1</v>
      </c>
      <c r="H26" s="247" t="str">
        <f>VLOOKUP(C26,'Sales Master'!$B$3:$F$2420,5,0)</f>
        <v>820 GM x 12/ Ctn箱</v>
      </c>
      <c r="I26" s="513" t="str">
        <f>VLOOKUP(C26,'Sales Master'!$B$3:$E$2420,4,0)</f>
        <v>Statue</v>
      </c>
      <c r="J26" s="513"/>
      <c r="K26" s="83">
        <f>VLOOKUP(C26,'Sales Master'!B$3:I$537,8,0)</f>
        <v>37</v>
      </c>
      <c r="L26" s="84">
        <f t="shared" ref="L26" si="2">K26*G26</f>
        <v>37</v>
      </c>
    </row>
    <row r="27" spans="2:22" ht="20.149999999999999" customHeight="1" x14ac:dyDescent="0.45">
      <c r="B27" s="58">
        <v>520711</v>
      </c>
      <c r="C27" s="212" t="str">
        <f>VLOOKUP(B27,'Sales Master'!A$3:B$537,2,0)</f>
        <v>P4014</v>
      </c>
      <c r="D27" s="487" t="str">
        <f>VLOOKUP(C27,'Sales Master'!B$3:D$537,2,)</f>
        <v>Cream Corn 玉米浆</v>
      </c>
      <c r="E27" s="487"/>
      <c r="F27" s="487"/>
      <c r="G27" s="76">
        <v>1</v>
      </c>
      <c r="H27" s="247" t="str">
        <f>VLOOKUP(C27,'Sales Master'!$B$3:$F$2420,5,0)</f>
        <v>410 GM x 24/ Ctn箱</v>
      </c>
      <c r="I27" s="513" t="str">
        <f>VLOOKUP(C27,'Sales Master'!$B$3:$E$2420,4,0)</f>
        <v>Statue</v>
      </c>
      <c r="J27" s="513"/>
      <c r="K27" s="83">
        <f>VLOOKUP(C27,'Sales Master'!B$3:I$537,8,0)</f>
        <v>23</v>
      </c>
      <c r="L27" s="84">
        <f>K27*G27</f>
        <v>23</v>
      </c>
    </row>
    <row r="28" spans="2:22" ht="20.149999999999999" customHeight="1" x14ac:dyDescent="0.45">
      <c r="B28" s="58"/>
      <c r="C28" s="212" t="s">
        <v>1245</v>
      </c>
      <c r="D28" s="487" t="str">
        <f>VLOOKUP(C28,'Sales Master'!B$3:D$537,2,)</f>
        <v>Coconut Milk 天然鲜椰浆</v>
      </c>
      <c r="E28" s="487"/>
      <c r="F28" s="487"/>
      <c r="G28" s="76">
        <v>12</v>
      </c>
      <c r="H28" s="247" t="str">
        <f>VLOOKUP(C28,'Sales Master'!$B$3:$F$2420,5,0)</f>
        <v>500GM/ Pkt包</v>
      </c>
      <c r="I28" s="513" t="str">
        <f>VLOOKUP(C28,'Sales Master'!$B$3:$E$2420,4,0)</f>
        <v>Heng Guan</v>
      </c>
      <c r="J28" s="513"/>
      <c r="K28" s="83">
        <f>VLOOKUP(C28,'Sales Master'!B$3:I$537,8,0)</f>
        <v>2.7</v>
      </c>
      <c r="L28" s="84">
        <f>K28*G28</f>
        <v>32.400000000000006</v>
      </c>
    </row>
    <row r="29" spans="2:22" ht="20.149999999999999" customHeight="1" x14ac:dyDescent="0.45">
      <c r="B29" s="58">
        <v>520700</v>
      </c>
      <c r="C29" s="212" t="str">
        <f>VLOOKUP(B29,'Sales Master'!A$3:B$537,2,0)</f>
        <v>P5002A</v>
      </c>
      <c r="D29" s="487" t="str">
        <f>VLOOKUP(C29,'Sales Master'!B$3:D$537,2,)</f>
        <v>Brown Sugar 黑糖</v>
      </c>
      <c r="E29" s="487"/>
      <c r="F29" s="487"/>
      <c r="G29" s="76">
        <v>3</v>
      </c>
      <c r="H29" s="247" t="str">
        <f>VLOOKUP(C29,'Sales Master'!$B$3:$F$2420,5,0)</f>
        <v>6 KG</v>
      </c>
      <c r="I29" s="513" t="str">
        <f>VLOOKUP(C29,'Sales Master'!$B$3:$E$2420,4,0)</f>
        <v>Star</v>
      </c>
      <c r="J29" s="513"/>
      <c r="K29" s="83">
        <f>VLOOKUP(C29,'Sales Master'!B$3:I$537,8,0)</f>
        <v>17</v>
      </c>
      <c r="L29" s="84">
        <f t="shared" ref="L29:L30" si="3">K29*G29</f>
        <v>51</v>
      </c>
    </row>
    <row r="30" spans="2:22" ht="20.149999999999999" customHeight="1" x14ac:dyDescent="0.45">
      <c r="B30" s="58">
        <v>520731</v>
      </c>
      <c r="C30" s="212" t="str">
        <f>VLOOKUP(B30,'Sales Master'!A$3:B$537,2,0)</f>
        <v>P6007</v>
      </c>
      <c r="D30" s="487" t="str">
        <f>VLOOKUP(C30,'Sales Master'!B$3:D$537,2,)</f>
        <v>Pandan Leaf 班兰叶</v>
      </c>
      <c r="E30" s="487"/>
      <c r="F30" s="487"/>
      <c r="G30" s="76">
        <v>1</v>
      </c>
      <c r="H30" s="247" t="str">
        <f>VLOOKUP(C30,'Sales Master'!$B$3:$F$2420,5,0)</f>
        <v>1 KG</v>
      </c>
      <c r="I30" s="513" t="str">
        <f>VLOOKUP(C30,'Sales Master'!$B$3:$E$2420,4,0)</f>
        <v>-</v>
      </c>
      <c r="J30" s="513"/>
      <c r="K30" s="83">
        <f>VLOOKUP(C30,'Sales Master'!B$3:I$537,8,0)</f>
        <v>1.8</v>
      </c>
      <c r="L30" s="84">
        <f t="shared" si="3"/>
        <v>1.8</v>
      </c>
    </row>
    <row r="31" spans="2:22" ht="20.149999999999999" customHeight="1" x14ac:dyDescent="0.45">
      <c r="B31" s="58">
        <v>520726</v>
      </c>
      <c r="C31" s="212" t="str">
        <f>VLOOKUP(B31,'Sales Master'!A$3:B$537,2,0)</f>
        <v>P6008</v>
      </c>
      <c r="D31" s="487" t="str">
        <f>VLOOKUP(C31,'Sales Master'!B$3:D$537,2,)</f>
        <v>Lime 酸甘</v>
      </c>
      <c r="E31" s="487"/>
      <c r="F31" s="487"/>
      <c r="G31" s="76">
        <v>1</v>
      </c>
      <c r="H31" s="247" t="str">
        <f>VLOOKUP(C31,'Sales Master'!$B$3:$F$2420,5,0)</f>
        <v>1 KG</v>
      </c>
      <c r="I31" s="513" t="str">
        <f>VLOOKUP(C31,'Sales Master'!$B$3:$E$2420,4,0)</f>
        <v>-</v>
      </c>
      <c r="J31" s="513"/>
      <c r="K31" s="83">
        <f>VLOOKUP(C31,'Sales Master'!B$3:I$537,8,0)</f>
        <v>3.2</v>
      </c>
      <c r="L31" s="84">
        <f t="shared" ref="L31" si="4">K31*G31</f>
        <v>3.2</v>
      </c>
    </row>
    <row r="32" spans="2:22" ht="20.149999999999999" customHeight="1" x14ac:dyDescent="0.45">
      <c r="B32" s="29"/>
      <c r="C32" s="17"/>
      <c r="D32" s="487"/>
      <c r="E32" s="487"/>
      <c r="F32" s="487"/>
      <c r="G32" s="76"/>
      <c r="H32" s="247"/>
      <c r="I32" s="513"/>
      <c r="J32" s="513"/>
      <c r="K32" s="83"/>
      <c r="L32" s="84"/>
    </row>
    <row r="33" spans="2:13" ht="20.149999999999999" customHeight="1" x14ac:dyDescent="0.45">
      <c r="B33" s="29"/>
      <c r="C33" s="17"/>
      <c r="G33" s="76"/>
      <c r="H33" s="247"/>
      <c r="I33" s="209"/>
      <c r="J33" s="209"/>
      <c r="K33" s="83"/>
      <c r="L33" s="84"/>
    </row>
    <row r="34" spans="2:13" ht="20.149999999999999" customHeight="1" x14ac:dyDescent="0.45">
      <c r="B34" s="104"/>
      <c r="C34" s="105"/>
      <c r="D34" s="514"/>
      <c r="E34" s="514"/>
      <c r="F34" s="514"/>
      <c r="G34" s="105"/>
      <c r="H34" s="105"/>
      <c r="I34" s="124"/>
      <c r="J34" s="124"/>
      <c r="K34" s="108"/>
      <c r="L34" s="125"/>
    </row>
    <row r="35" spans="2:13" ht="20.149999999999999" customHeight="1" thickBot="1" x14ac:dyDescent="0.5">
      <c r="B35" s="36"/>
      <c r="L35" s="37"/>
    </row>
    <row r="36" spans="2:13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89" t="s">
        <v>13</v>
      </c>
      <c r="K36" s="490"/>
      <c r="L36" s="38">
        <f>SUM(L18:L35)</f>
        <v>388.4</v>
      </c>
      <c r="M36" s="63">
        <f>SUM(P18:P36)</f>
        <v>0</v>
      </c>
    </row>
    <row r="37" spans="2:13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3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91" t="s">
        <v>19</v>
      </c>
      <c r="K38" s="492"/>
      <c r="L38" s="41">
        <f>L36-L37</f>
        <v>388.4</v>
      </c>
    </row>
    <row r="39" spans="2:13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34.955999999999996</v>
      </c>
    </row>
    <row r="40" spans="2:13" ht="20.149999999999999" customHeight="1" thickBot="1" x14ac:dyDescent="0.5">
      <c r="B40" s="10" t="s">
        <v>676</v>
      </c>
      <c r="C40" s="6"/>
      <c r="D40" s="6"/>
      <c r="E40" s="6"/>
      <c r="F40" s="6"/>
      <c r="G40" s="6"/>
      <c r="H40" s="6"/>
      <c r="I40" s="6"/>
      <c r="J40" s="485" t="s">
        <v>21</v>
      </c>
      <c r="K40" s="486"/>
      <c r="L40" s="43">
        <f>L38+L39</f>
        <v>423.35599999999999</v>
      </c>
    </row>
    <row r="41" spans="2:13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3" ht="20.149999999999999" customHeight="1" x14ac:dyDescent="0.45">
      <c r="B42" s="144" t="s">
        <v>666</v>
      </c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44"/>
      <c r="C46" s="45"/>
      <c r="D46" s="45"/>
      <c r="J46" s="45"/>
      <c r="K46" s="45"/>
      <c r="L46" s="46"/>
    </row>
    <row r="47" spans="2:13" ht="20.149999999999999" customHeight="1" x14ac:dyDescent="0.45">
      <c r="B47" s="36" t="s">
        <v>25</v>
      </c>
      <c r="J47" s="19" t="s">
        <v>26</v>
      </c>
      <c r="L47" s="37"/>
    </row>
    <row r="48" spans="2:13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49">
    <mergeCell ref="I25:J25"/>
    <mergeCell ref="D25:F25"/>
    <mergeCell ref="J40:K40"/>
    <mergeCell ref="D22:F22"/>
    <mergeCell ref="J38:K38"/>
    <mergeCell ref="D34:F34"/>
    <mergeCell ref="J36:K36"/>
    <mergeCell ref="D32:F32"/>
    <mergeCell ref="I32:J32"/>
    <mergeCell ref="I22:J22"/>
    <mergeCell ref="D30:F30"/>
    <mergeCell ref="I30:J30"/>
    <mergeCell ref="D23:F23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8:F18"/>
    <mergeCell ref="I18:J18"/>
    <mergeCell ref="D17:F17"/>
    <mergeCell ref="D31:F31"/>
    <mergeCell ref="I26:J26"/>
    <mergeCell ref="D26:F26"/>
    <mergeCell ref="I31:J31"/>
    <mergeCell ref="D27:F27"/>
    <mergeCell ref="I28:J28"/>
    <mergeCell ref="D29:F29"/>
    <mergeCell ref="I29:J29"/>
    <mergeCell ref="I27:J27"/>
    <mergeCell ref="D28:F28"/>
    <mergeCell ref="D19:F19"/>
    <mergeCell ref="I19:J19"/>
    <mergeCell ref="D20:F20"/>
    <mergeCell ref="I20:J20"/>
    <mergeCell ref="I24:J24"/>
    <mergeCell ref="D24:F24"/>
    <mergeCell ref="D21:F21"/>
    <mergeCell ref="I21:J21"/>
  </mergeCells>
  <conditionalFormatting sqref="C18:C31">
    <cfRule type="duplicateValues" dxfId="46" priority="2751"/>
  </conditionalFormatting>
  <conditionalFormatting sqref="C32:C33">
    <cfRule type="duplicateValues" dxfId="45" priority="2588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64321-2D63-4004-B6E1-187DD68AB870}">
  <sheetPr>
    <tabColor rgb="FFFFC000"/>
    <pageSetUpPr fitToPage="1"/>
  </sheetPr>
  <dimension ref="B1:N49"/>
  <sheetViews>
    <sheetView topLeftCell="A36" workbookViewId="0">
      <selection activeCell="L46" sqref="L4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1993</v>
      </c>
      <c r="J10" s="24" t="s">
        <v>27</v>
      </c>
      <c r="K10" s="464">
        <v>202410401</v>
      </c>
      <c r="L10" s="465"/>
    </row>
    <row r="11" spans="2:14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Koufu                                                                602B Tampines Ave 9, #01-01                  Singapore 522602</v>
      </c>
      <c r="G11" s="470"/>
      <c r="H11" s="471"/>
      <c r="J11" s="26" t="s">
        <v>9</v>
      </c>
      <c r="K11" s="478">
        <v>45582</v>
      </c>
      <c r="L11" s="479"/>
    </row>
    <row r="12" spans="2:14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19" t="s">
        <v>1309</v>
      </c>
    </row>
    <row r="13" spans="2:14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730</v>
      </c>
    </row>
    <row r="14" spans="2:14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2" t="s">
        <v>868</v>
      </c>
      <c r="D18" s="487" t="str">
        <f>VLOOKUP(C18,'Sales Master'!B$3:D$537,2,)</f>
        <v>Chrysanthemum 菊花</v>
      </c>
      <c r="E18" s="487"/>
      <c r="F18" s="487"/>
      <c r="G18" s="76">
        <v>2</v>
      </c>
      <c r="H18" s="263" t="str">
        <f>VLOOKUP(C18,'Sales Master'!$B$3:$F$2488,5,0)</f>
        <v>100gm x 10PKT/Bag</v>
      </c>
      <c r="I18" s="484" t="str">
        <f>VLOOKUP(C18,'Sales Master'!$B$3:$E$2488,4,0)</f>
        <v>-</v>
      </c>
      <c r="J18" s="484"/>
      <c r="K18" s="30">
        <f>VLOOKUP(C18,'Sales Master'!B$3:J$537,9,0)</f>
        <v>20</v>
      </c>
      <c r="L18" s="64">
        <f>K18*G18</f>
        <v>40</v>
      </c>
      <c r="M18" s="65"/>
    </row>
    <row r="19" spans="2:13" ht="20.149999999999999" customHeight="1" x14ac:dyDescent="0.45">
      <c r="B19" s="29"/>
      <c r="C19" s="212" t="s">
        <v>895</v>
      </c>
      <c r="D19" s="498" t="str">
        <f>VLOOKUP(C19,'Sales Master'!B$3:D$537,2,)</f>
        <v>Liquorice 甘草</v>
      </c>
      <c r="E19" s="498"/>
      <c r="F19" s="498"/>
      <c r="G19" s="76">
        <v>1</v>
      </c>
      <c r="H19" s="263" t="str">
        <f>VLOOKUP(C19,'Sales Master'!$B$3:$F$2488,5,0)</f>
        <v>1kg</v>
      </c>
      <c r="I19" s="484" t="str">
        <f>VLOOKUP(C19,'Sales Master'!$B$3:$E$2488,4,0)</f>
        <v>-</v>
      </c>
      <c r="J19" s="484"/>
      <c r="K19" s="30">
        <f>VLOOKUP(C19,'Sales Master'!B$3:J$537,9,0)</f>
        <v>13</v>
      </c>
      <c r="L19" s="64">
        <f>K19*G19</f>
        <v>13</v>
      </c>
      <c r="M19" s="65"/>
    </row>
    <row r="20" spans="2:13" ht="20.149999999999999" customHeight="1" x14ac:dyDescent="0.45">
      <c r="B20" s="29"/>
      <c r="C20" s="212" t="s">
        <v>1780</v>
      </c>
      <c r="D20" s="487" t="str">
        <f>VLOOKUP(C20,'Sales Master'!B$3:D$537,2,)</f>
        <v>Chinese Sugarcane 竹蔗</v>
      </c>
      <c r="E20" s="487"/>
      <c r="F20" s="487"/>
      <c r="G20" s="76">
        <v>1</v>
      </c>
      <c r="H20" s="263" t="str">
        <f>VLOOKUP(C20,'Sales Master'!$B$3:$F$2488,5,0)</f>
        <v>100gm x 10PKT/ Bag</v>
      </c>
      <c r="I20" s="484" t="str">
        <f>VLOOKUP(C20,'Sales Master'!$B$3:$E$2488,4,0)</f>
        <v>-</v>
      </c>
      <c r="J20" s="484"/>
      <c r="K20" s="30">
        <f>VLOOKUP(C20,'Sales Master'!B$3:J$537,9,0)</f>
        <v>10</v>
      </c>
      <c r="L20" s="64">
        <f>K20*G20</f>
        <v>10</v>
      </c>
      <c r="M20" s="65"/>
    </row>
    <row r="21" spans="2:13" ht="20.149999999999999" customHeight="1" x14ac:dyDescent="0.45">
      <c r="B21" s="29"/>
      <c r="C21" s="212" t="s">
        <v>1884</v>
      </c>
      <c r="D21" s="487" t="str">
        <f>VLOOKUP(C21,'Sales Master'!B$3:D$537,2,)</f>
        <v>Xia Gu Cao 夏古草</v>
      </c>
      <c r="E21" s="487"/>
      <c r="F21" s="487"/>
      <c r="G21" s="76">
        <v>1</v>
      </c>
      <c r="H21" s="263" t="str">
        <f>VLOOKUP(C21,'Sales Master'!$B$3:$F$2488,5,0)</f>
        <v>1kg / Pkt</v>
      </c>
      <c r="I21" s="484" t="str">
        <f>VLOOKUP(C21,'Sales Master'!$B$3:$E$2488,4,0)</f>
        <v>-</v>
      </c>
      <c r="J21" s="484"/>
      <c r="K21" s="30">
        <f>VLOOKUP(C21,'Sales Master'!B$3:J$537,9,0)</f>
        <v>13.8</v>
      </c>
      <c r="L21" s="64">
        <f>K21*G21</f>
        <v>13.8</v>
      </c>
      <c r="M21" s="65"/>
    </row>
    <row r="22" spans="2:13" ht="20.149999999999999" customHeight="1" x14ac:dyDescent="0.45">
      <c r="B22" s="29"/>
      <c r="C22" s="212" t="s">
        <v>899</v>
      </c>
      <c r="D22" s="487" t="str">
        <f>VLOOKUP(C22,'Sales Master'!B$3:D$537,2,)</f>
        <v>Honeysuckle 金银花</v>
      </c>
      <c r="E22" s="487"/>
      <c r="F22" s="487"/>
      <c r="G22" s="76">
        <v>1</v>
      </c>
      <c r="H22" s="263" t="str">
        <f>VLOOKUP(C22,'Sales Master'!$B$3:$F$2488,5,0)</f>
        <v>1kg</v>
      </c>
      <c r="I22" s="484">
        <f>VLOOKUP(C22,'Sales Master'!$B$3:$E$2488,4,0)</f>
        <v>0</v>
      </c>
      <c r="J22" s="484"/>
      <c r="K22" s="30">
        <f>VLOOKUP(C22,'Sales Master'!B$3:J$537,9,0)</f>
        <v>60</v>
      </c>
      <c r="L22" s="64">
        <f>K22*G22</f>
        <v>60</v>
      </c>
      <c r="M22" s="65"/>
    </row>
    <row r="23" spans="2:13" ht="20.149999999999999" customHeight="1" x14ac:dyDescent="0.45">
      <c r="B23" s="29"/>
      <c r="C23" s="212"/>
      <c r="D23" s="487"/>
      <c r="E23" s="487"/>
      <c r="F23" s="487"/>
      <c r="G23" s="76"/>
      <c r="H23" s="186"/>
      <c r="I23" s="484"/>
      <c r="J23" s="484"/>
      <c r="K23" s="30"/>
      <c r="L23" s="64"/>
      <c r="M23" s="65"/>
    </row>
    <row r="24" spans="2:13" ht="20.149999999999999" customHeight="1" x14ac:dyDescent="0.45">
      <c r="B24" s="29"/>
      <c r="C24" s="212"/>
      <c r="D24" s="487"/>
      <c r="E24" s="487"/>
      <c r="F24" s="487"/>
      <c r="G24" s="76"/>
      <c r="H24" s="186"/>
      <c r="I24" s="484"/>
      <c r="J24" s="484"/>
      <c r="K24" s="30"/>
      <c r="L24" s="64"/>
      <c r="M24" s="65"/>
    </row>
    <row r="25" spans="2:13" ht="20.149999999999999" customHeight="1" x14ac:dyDescent="0.45">
      <c r="B25" s="29"/>
      <c r="C25" s="212"/>
      <c r="D25" s="487"/>
      <c r="E25" s="487"/>
      <c r="F25" s="487"/>
      <c r="G25" s="76"/>
      <c r="H25" s="186"/>
      <c r="I25" s="484"/>
      <c r="J25" s="484"/>
      <c r="K25" s="30"/>
      <c r="L25" s="64"/>
      <c r="M25" s="65"/>
    </row>
    <row r="26" spans="2:13" ht="20.149999999999999" customHeight="1" x14ac:dyDescent="0.45">
      <c r="B26" s="29"/>
      <c r="C26" s="212"/>
      <c r="D26" s="487"/>
      <c r="E26" s="487"/>
      <c r="F26" s="487"/>
      <c r="G26" s="76"/>
      <c r="H26" s="186"/>
      <c r="I26" s="484"/>
      <c r="J26" s="484"/>
      <c r="K26" s="30"/>
      <c r="L26" s="64"/>
      <c r="M26" s="65"/>
    </row>
    <row r="27" spans="2:13" ht="20.149999999999999" customHeight="1" x14ac:dyDescent="0.45">
      <c r="B27" s="29"/>
      <c r="C27" s="212"/>
      <c r="D27" s="487"/>
      <c r="E27" s="487"/>
      <c r="F27" s="487"/>
      <c r="G27" s="76"/>
      <c r="H27" s="186"/>
      <c r="I27" s="484"/>
      <c r="J27" s="484"/>
      <c r="K27" s="30"/>
      <c r="L27" s="64"/>
      <c r="M27" s="65"/>
    </row>
    <row r="28" spans="2:13" ht="20.149999999999999" customHeight="1" x14ac:dyDescent="0.45">
      <c r="B28" s="29"/>
      <c r="C28" s="212"/>
      <c r="D28" s="487"/>
      <c r="E28" s="487"/>
      <c r="F28" s="487"/>
      <c r="G28" s="76"/>
      <c r="H28" s="186"/>
      <c r="I28" s="484"/>
      <c r="J28" s="484"/>
      <c r="K28" s="30"/>
      <c r="L28" s="64"/>
      <c r="M28" s="65"/>
    </row>
    <row r="29" spans="2:13" ht="20.149999999999999" customHeight="1" x14ac:dyDescent="0.45">
      <c r="B29" s="29"/>
      <c r="C29" s="212"/>
      <c r="D29" s="487"/>
      <c r="E29" s="487"/>
      <c r="F29" s="487"/>
      <c r="G29" s="76"/>
      <c r="H29" s="186"/>
      <c r="I29" s="484"/>
      <c r="J29" s="484"/>
      <c r="K29" s="30"/>
      <c r="L29" s="64"/>
      <c r="M29" s="65"/>
    </row>
    <row r="30" spans="2:13" ht="20.149999999999999" customHeight="1" x14ac:dyDescent="0.45">
      <c r="B30" s="29"/>
      <c r="C30" s="212"/>
      <c r="D30" s="487"/>
      <c r="E30" s="487"/>
      <c r="F30" s="487"/>
      <c r="G30" s="76"/>
      <c r="H30" s="186"/>
      <c r="I30" s="484"/>
      <c r="J30" s="484"/>
      <c r="K30" s="30"/>
      <c r="L30" s="64"/>
      <c r="M30" s="65"/>
    </row>
    <row r="31" spans="2:13" ht="20.149999999999999" customHeight="1" x14ac:dyDescent="0.45">
      <c r="B31" s="29"/>
      <c r="C31" s="212"/>
      <c r="D31" s="487"/>
      <c r="E31" s="487"/>
      <c r="F31" s="487"/>
      <c r="G31" s="76"/>
      <c r="H31" s="186"/>
      <c r="I31" s="484"/>
      <c r="J31" s="484"/>
      <c r="K31" s="30"/>
      <c r="L31" s="64"/>
      <c r="M31" s="65"/>
    </row>
    <row r="32" spans="2:13" ht="20.149999999999999" customHeight="1" x14ac:dyDescent="0.45">
      <c r="B32" s="29"/>
      <c r="C32" s="212"/>
      <c r="D32" s="487"/>
      <c r="E32" s="487"/>
      <c r="F32" s="487"/>
      <c r="G32" s="76"/>
      <c r="H32" s="186"/>
      <c r="I32" s="484"/>
      <c r="J32" s="484"/>
      <c r="K32" s="30"/>
      <c r="L32" s="64"/>
      <c r="M32" s="65"/>
    </row>
    <row r="33" spans="2:13" ht="20.149999999999999" customHeight="1" x14ac:dyDescent="0.45">
      <c r="B33" s="29"/>
      <c r="C33" s="212"/>
      <c r="D33" s="487"/>
      <c r="E33" s="487"/>
      <c r="F33" s="487"/>
      <c r="G33" s="76"/>
      <c r="H33" s="186"/>
      <c r="I33" s="484"/>
      <c r="J33" s="484"/>
      <c r="K33" s="30"/>
      <c r="L33" s="64"/>
      <c r="M33" s="65"/>
    </row>
    <row r="34" spans="2:13" ht="20.149999999999999" customHeight="1" x14ac:dyDescent="0.45">
      <c r="B34" s="29"/>
      <c r="C34" s="17"/>
      <c r="G34" s="76"/>
      <c r="H34" s="186"/>
      <c r="I34" s="208"/>
      <c r="J34" s="208"/>
      <c r="K34" s="30"/>
      <c r="L34" s="64"/>
      <c r="M34" s="65"/>
    </row>
    <row r="35" spans="2:13" ht="20.149999999999999" customHeight="1" thickBot="1" x14ac:dyDescent="0.5">
      <c r="B35" s="32"/>
      <c r="C35" s="33"/>
      <c r="D35" s="488"/>
      <c r="E35" s="488"/>
      <c r="F35" s="488"/>
      <c r="G35" s="33"/>
      <c r="H35" s="57"/>
      <c r="I35" s="459"/>
      <c r="J35" s="459"/>
      <c r="K35" s="34"/>
      <c r="L35" s="35"/>
    </row>
    <row r="36" spans="2:13" ht="20.149999999999999" customHeight="1" thickBot="1" x14ac:dyDescent="0.5">
      <c r="B36" s="36"/>
      <c r="L36" s="37"/>
    </row>
    <row r="37" spans="2:13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89" t="s">
        <v>13</v>
      </c>
      <c r="K37" s="490"/>
      <c r="L37" s="38">
        <f>SUM(L14:L35)</f>
        <v>136.80000000000001</v>
      </c>
      <c r="M37" s="63">
        <f>SUM(P18:P35)</f>
        <v>0</v>
      </c>
    </row>
    <row r="38" spans="2:13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3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91" t="s">
        <v>19</v>
      </c>
      <c r="K39" s="492"/>
      <c r="L39" s="41">
        <f>L37-L38</f>
        <v>136.80000000000001</v>
      </c>
    </row>
    <row r="40" spans="2:13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12.312000000000001</v>
      </c>
    </row>
    <row r="41" spans="2:13" ht="20.149999999999999" customHeight="1" thickBot="1" x14ac:dyDescent="0.5">
      <c r="B41" s="10" t="s">
        <v>23</v>
      </c>
      <c r="C41" s="6"/>
      <c r="D41" s="6"/>
      <c r="E41" s="6"/>
      <c r="F41" s="6"/>
      <c r="G41" s="6"/>
      <c r="H41" s="6"/>
      <c r="I41" s="6"/>
      <c r="J41" s="485" t="s">
        <v>21</v>
      </c>
      <c r="K41" s="486"/>
      <c r="L41" s="43">
        <f>L39+L40</f>
        <v>149.11200000000002</v>
      </c>
    </row>
    <row r="42" spans="2:13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3" ht="20.149999999999999" customHeight="1" x14ac:dyDescent="0.45">
      <c r="B43" s="36"/>
      <c r="L43" s="37"/>
    </row>
    <row r="44" spans="2:13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36"/>
      <c r="L46" s="37"/>
    </row>
    <row r="47" spans="2:13" x14ac:dyDescent="0.45">
      <c r="B47" s="44"/>
      <c r="C47" s="45"/>
      <c r="D47" s="45"/>
      <c r="J47" s="45"/>
      <c r="K47" s="45"/>
      <c r="L47" s="46"/>
    </row>
    <row r="48" spans="2:13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</sheetData>
  <mergeCells count="5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0:F20"/>
    <mergeCell ref="I20:J20"/>
    <mergeCell ref="D19:F19"/>
    <mergeCell ref="I19:J19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D32:F32"/>
    <mergeCell ref="I32:J32"/>
    <mergeCell ref="J39:K39"/>
    <mergeCell ref="J41:K41"/>
    <mergeCell ref="D33:F33"/>
    <mergeCell ref="I33:J33"/>
    <mergeCell ref="D35:F35"/>
    <mergeCell ref="I35:J35"/>
    <mergeCell ref="J37:K37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FE6CE-D9D2-4FEB-A7EF-130283996256}">
  <sheetPr>
    <tabColor rgb="FFFFC000"/>
    <pageSetUpPr fitToPage="1"/>
  </sheetPr>
  <dimension ref="B1:S42"/>
  <sheetViews>
    <sheetView topLeftCell="A26" zoomScale="98" zoomScaleNormal="98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18.54296875" style="19" customWidth="1"/>
    <col min="11" max="11" width="10.54296875" style="19" customWidth="1"/>
    <col min="12" max="12" width="13.45312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2013</v>
      </c>
      <c r="J10" s="24" t="s">
        <v>27</v>
      </c>
      <c r="K10" s="464">
        <v>202408355</v>
      </c>
      <c r="L10" s="465"/>
    </row>
    <row r="11" spans="2:14" ht="20.149999999999999" customHeight="1" x14ac:dyDescent="0.45">
      <c r="B11" s="466" t="s">
        <v>1949</v>
      </c>
      <c r="C11" s="467"/>
      <c r="D11" s="468"/>
      <c r="E11" s="25"/>
      <c r="F11" s="469" t="str">
        <f>VLOOKUP(H10,'Delivery Location'!A$4:N$466,2,0)</f>
        <v>NINE FRESH                                                      10 Admiralty Street, Northlink #04-53, Singapore 757695                               Contact: 65701012 (Ms Cindy)</v>
      </c>
      <c r="G11" s="470"/>
      <c r="H11" s="471"/>
      <c r="J11" s="26" t="s">
        <v>9</v>
      </c>
      <c r="K11" s="478">
        <v>45518</v>
      </c>
      <c r="L11" s="479"/>
    </row>
    <row r="12" spans="2:14" ht="20.149999999999999" customHeight="1" x14ac:dyDescent="0.45">
      <c r="B12" s="480" t="s">
        <v>1307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19" t="s">
        <v>1309</v>
      </c>
    </row>
    <row r="13" spans="2:14" ht="20.149999999999999" customHeight="1" x14ac:dyDescent="0.45">
      <c r="B13" s="480" t="s">
        <v>1221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730</v>
      </c>
    </row>
    <row r="14" spans="2:14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9" ht="20.149999999999999" customHeight="1" x14ac:dyDescent="0.45">
      <c r="B18" s="29"/>
      <c r="C18" s="212" t="s">
        <v>929</v>
      </c>
      <c r="D18" s="487" t="str">
        <f>VLOOKUP(C18,'Sales Master'!B$3:D$537,2,)</f>
        <v>Aloe Vera 芦荟 10mm</v>
      </c>
      <c r="E18" s="487"/>
      <c r="F18" s="487"/>
      <c r="G18" s="76">
        <v>48</v>
      </c>
      <c r="H18" s="186" t="str">
        <f>VLOOKUP(C18,'Sales Master'!$B$3:$F$2488,5,0)</f>
        <v>1 Can X A10</v>
      </c>
      <c r="I18" s="484" t="str">
        <f>VLOOKUP(C18,'Sales Master'!$B$3:$E$2488,4,0)</f>
        <v>Chefs</v>
      </c>
      <c r="J18" s="484"/>
      <c r="K18" s="30">
        <f>VLOOKUP(C18,'Sales Master'!B$3:CJ$537,87,0)</f>
        <v>9.4</v>
      </c>
      <c r="L18" s="64">
        <f>K18*G18</f>
        <v>451.20000000000005</v>
      </c>
      <c r="M18" s="65"/>
      <c r="N18" s="145">
        <f>VLOOKUP(C18,'Sales Master'!$B$3:$DA$2279,104,0)</f>
        <v>7</v>
      </c>
      <c r="O18" s="145">
        <f>K18-N18</f>
        <v>2.4000000000000004</v>
      </c>
      <c r="P18" s="145">
        <f>O18*G18</f>
        <v>115.20000000000002</v>
      </c>
    </row>
    <row r="19" spans="2:19" ht="20.149999999999999" customHeight="1" x14ac:dyDescent="0.45">
      <c r="B19" s="29"/>
      <c r="C19" s="212"/>
      <c r="D19" s="487"/>
      <c r="E19" s="487"/>
      <c r="F19" s="487"/>
      <c r="G19" s="76"/>
      <c r="H19" s="186"/>
      <c r="I19" s="484"/>
      <c r="J19" s="484"/>
      <c r="K19" s="525"/>
      <c r="L19" s="526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2"/>
      <c r="D20" s="487"/>
      <c r="E20" s="487"/>
      <c r="F20" s="487"/>
      <c r="G20" s="76"/>
      <c r="H20" s="186"/>
      <c r="I20" s="484"/>
      <c r="J20" s="484"/>
      <c r="K20" s="525"/>
      <c r="L20" s="526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87"/>
      <c r="E21" s="487"/>
      <c r="F21" s="487"/>
      <c r="G21" s="76"/>
      <c r="H21" s="56"/>
      <c r="I21" s="494"/>
      <c r="J21" s="494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87"/>
      <c r="E22" s="487"/>
      <c r="F22" s="487"/>
      <c r="G22" s="76"/>
      <c r="H22" s="56"/>
      <c r="I22" s="494"/>
      <c r="J22" s="494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87"/>
      <c r="E26" s="487"/>
      <c r="F26" s="487"/>
      <c r="G26" s="76"/>
      <c r="H26" s="165"/>
      <c r="I26" s="494"/>
      <c r="J26" s="494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488"/>
      <c r="E28" s="488"/>
      <c r="F28" s="488"/>
      <c r="G28" s="33"/>
      <c r="H28" s="57"/>
      <c r="I28" s="459"/>
      <c r="J28" s="459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SUM(L14:L28)</f>
        <v>451.20000000000005</v>
      </c>
      <c r="M30" s="63">
        <f>SUM(P18:P28)</f>
        <v>115.20000000000002</v>
      </c>
      <c r="N30" s="133">
        <f>M30/L30</f>
        <v>0.25531914893617025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451.20000000000005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40.608000000000004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491.80800000000005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8:F28"/>
    <mergeCell ref="I28:J28"/>
    <mergeCell ref="J30:K30"/>
    <mergeCell ref="J32:K32"/>
    <mergeCell ref="J34:K34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ABD59-7309-4583-9A09-C7A9E5B78461}">
  <sheetPr>
    <tabColor rgb="FFFFC000"/>
    <pageSetUpPr fitToPage="1"/>
  </sheetPr>
  <dimension ref="A1:M45"/>
  <sheetViews>
    <sheetView zoomScaleNormal="100" workbookViewId="0"/>
  </sheetViews>
  <sheetFormatPr defaultColWidth="12.54296875" defaultRowHeight="18.5" x14ac:dyDescent="0.45"/>
  <cols>
    <col min="1" max="3" width="12.6328125" style="19" customWidth="1"/>
    <col min="4" max="4" width="13.6328125" style="19" customWidth="1"/>
    <col min="5" max="5" width="1.54296875" style="19" customWidth="1"/>
    <col min="6" max="6" width="17.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6328125" style="19" customWidth="1"/>
    <col min="11" max="12" width="12.632812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2016</v>
      </c>
      <c r="J10" s="24" t="s">
        <v>27</v>
      </c>
      <c r="K10" s="464">
        <v>202504194</v>
      </c>
      <c r="L10" s="465"/>
    </row>
    <row r="11" spans="2:12" ht="20.149999999999999" customHeight="1" x14ac:dyDescent="0.45">
      <c r="B11" s="466" t="s">
        <v>2039</v>
      </c>
      <c r="C11" s="467"/>
      <c r="D11" s="468"/>
      <c r="E11" s="25"/>
      <c r="F11" s="469" t="str">
        <f>VLOOKUP(H10,'Delivery Location'!A$4:N$466,2,0)</f>
        <v>Today Kampung Chicken Rice Restaurant 日日茶室                                                               71 Seng Poh Road #01-49                 Singapore 160071</v>
      </c>
      <c r="G11" s="470"/>
      <c r="H11" s="471"/>
      <c r="J11" s="26" t="s">
        <v>9</v>
      </c>
      <c r="K11" s="478">
        <v>45755</v>
      </c>
      <c r="L11" s="479"/>
    </row>
    <row r="12" spans="2:12" ht="20.149999999999999" customHeight="1" x14ac:dyDescent="0.45">
      <c r="B12" s="480" t="s">
        <v>524</v>
      </c>
      <c r="C12" s="453"/>
      <c r="D12" s="481"/>
      <c r="E12" s="25"/>
      <c r="F12" s="472"/>
      <c r="G12" s="473"/>
      <c r="H12" s="474"/>
      <c r="J12" s="26" t="s">
        <v>127</v>
      </c>
      <c r="K12" s="482">
        <v>4500362260</v>
      </c>
      <c r="L12" s="483"/>
    </row>
    <row r="13" spans="2:12" ht="20.149999999999999" customHeight="1" x14ac:dyDescent="0.45">
      <c r="B13" s="480" t="s">
        <v>525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609</v>
      </c>
      <c r="L13" s="483"/>
    </row>
    <row r="14" spans="2:12" ht="20.149999999999999" customHeight="1" x14ac:dyDescent="0.45">
      <c r="B14" s="480" t="s">
        <v>526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18" t="s">
        <v>527</v>
      </c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</row>
    <row r="16" spans="2:12" ht="12" customHeight="1" thickBot="1" x14ac:dyDescent="0.5">
      <c r="J16" s="17"/>
    </row>
    <row r="17" spans="1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1:13" ht="20.149999999999999" customHeight="1" x14ac:dyDescent="0.45">
      <c r="A18" s="65"/>
      <c r="B18" s="58">
        <v>520732</v>
      </c>
      <c r="C18" s="212" t="str">
        <f>VLOOKUP(B18,'Sales Master'!A$3:B$537,2,0)</f>
        <v>P3016A</v>
      </c>
      <c r="D18" s="487" t="str">
        <f>VLOOKUP(C18,'Sales Master'!B$3:D$537,2,)</f>
        <v>Pearl Barley 薏米</v>
      </c>
      <c r="E18" s="487"/>
      <c r="F18" s="487"/>
      <c r="G18" s="76">
        <v>2</v>
      </c>
      <c r="H18" s="247" t="str">
        <f>VLOOKUP(C18,'Sales Master'!$B$3:$F$2420,5,0)</f>
        <v>5 KG</v>
      </c>
      <c r="I18" s="513" t="str">
        <f>VLOOKUP(C18,'Sales Master'!$B$3:$E$2420,4,0)</f>
        <v>-</v>
      </c>
      <c r="J18" s="513"/>
      <c r="K18" s="83">
        <f>VLOOKUP(C18,'Sales Master'!B$3:I$537,8,0)</f>
        <v>10</v>
      </c>
      <c r="L18" s="84">
        <f t="shared" ref="L18" si="0">K18*G18</f>
        <v>20</v>
      </c>
    </row>
    <row r="19" spans="1:13" ht="20.149999999999999" customHeight="1" x14ac:dyDescent="0.45">
      <c r="A19" s="65"/>
      <c r="B19" s="58">
        <v>523494</v>
      </c>
      <c r="C19" s="212" t="str">
        <f>VLOOKUP(B19,'Sales Master'!A$3:B$537,2,0)</f>
        <v>P4034</v>
      </c>
      <c r="D19" s="487" t="str">
        <f>VLOOKUP(C19,'Sales Master'!B$3:D$537,2,)</f>
        <v>Water Chestnut Juice 马蹄水</v>
      </c>
      <c r="E19" s="487"/>
      <c r="F19" s="487"/>
      <c r="G19" s="76">
        <v>2</v>
      </c>
      <c r="H19" s="247" t="str">
        <f>VLOOKUP(C19,'Sales Master'!$B$3:$F$2420,5,0)</f>
        <v>4 LT</v>
      </c>
      <c r="I19" s="513" t="str">
        <f>VLOOKUP(C19,'Sales Master'!$B$3:$E$2420,4,0)</f>
        <v>-</v>
      </c>
      <c r="J19" s="513"/>
      <c r="K19" s="83">
        <f>VLOOKUP(C19,'Sales Master'!B$3:I$537,8,0)</f>
        <v>32</v>
      </c>
      <c r="L19" s="84">
        <f t="shared" ref="L19" si="1">K19*G19</f>
        <v>64</v>
      </c>
    </row>
    <row r="20" spans="1:13" ht="20.149999999999999" customHeight="1" x14ac:dyDescent="0.45">
      <c r="A20" s="65"/>
      <c r="B20" s="58">
        <v>520702</v>
      </c>
      <c r="C20" s="212" t="str">
        <f>VLOOKUP(B20,'Sales Master'!A$3:B$537,2,0)</f>
        <v>P4035</v>
      </c>
      <c r="D20" s="487" t="str">
        <f>VLOOKUP(C20,'Sales Master'!B$3:D$537,2,)</f>
        <v>Calamansi Juice 酸柑水</v>
      </c>
      <c r="E20" s="487"/>
      <c r="F20" s="487"/>
      <c r="G20" s="76">
        <v>2</v>
      </c>
      <c r="H20" s="247" t="str">
        <f>VLOOKUP(C20,'Sales Master'!$B$3:$F$2420,5,0)</f>
        <v>4 LT</v>
      </c>
      <c r="I20" s="513" t="str">
        <f>VLOOKUP(C20,'Sales Master'!$B$3:$E$2420,4,0)</f>
        <v>-</v>
      </c>
      <c r="J20" s="513"/>
      <c r="K20" s="83">
        <f>VLOOKUP(C20,'Sales Master'!B$3:I$537,8,0)</f>
        <v>32</v>
      </c>
      <c r="L20" s="84">
        <f t="shared" ref="L20" si="2">K20*G20</f>
        <v>64</v>
      </c>
    </row>
    <row r="21" spans="1:13" ht="20.149999999999999" customHeight="1" x14ac:dyDescent="0.45">
      <c r="A21" s="65"/>
      <c r="B21" s="58">
        <v>523493</v>
      </c>
      <c r="C21" s="212" t="str">
        <f>VLOOKUP(B21,'Sales Master'!A$3:B$537,2,0)</f>
        <v>P5004</v>
      </c>
      <c r="D21" s="487" t="str">
        <f>VLOOKUP(C21,'Sales Master'!B$3:D$537,2,)</f>
        <v>Fine Sugar 白糖</v>
      </c>
      <c r="E21" s="487"/>
      <c r="F21" s="487"/>
      <c r="G21" s="76">
        <v>1</v>
      </c>
      <c r="H21" s="247" t="str">
        <f>VLOOKUP(C21,'Sales Master'!$B$3:$F$2420,5,0)</f>
        <v>25 KGS</v>
      </c>
      <c r="I21" s="513" t="str">
        <f>VLOOKUP(C21,'Sales Master'!$B$3:$E$2420,4,0)</f>
        <v>MITR PHOL/ 蜜朋</v>
      </c>
      <c r="J21" s="513"/>
      <c r="K21" s="83">
        <f>VLOOKUP(C21,'Sales Master'!B$3:I$537,8,0)</f>
        <v>29.5</v>
      </c>
      <c r="L21" s="84">
        <f t="shared" ref="L21" si="3">K21*G21</f>
        <v>29.5</v>
      </c>
    </row>
    <row r="22" spans="1:13" ht="20.149999999999999" customHeight="1" x14ac:dyDescent="0.45">
      <c r="A22" s="65"/>
      <c r="B22" s="243"/>
      <c r="C22" s="212"/>
      <c r="D22" s="487"/>
      <c r="E22" s="487"/>
      <c r="F22" s="487"/>
      <c r="G22" s="76"/>
      <c r="H22" s="247"/>
      <c r="I22" s="513"/>
      <c r="J22" s="513"/>
      <c r="K22" s="83"/>
      <c r="L22" s="84"/>
    </row>
    <row r="23" spans="1:13" ht="20.149999999999999" customHeight="1" x14ac:dyDescent="0.45">
      <c r="A23" s="65"/>
      <c r="B23" s="243"/>
      <c r="C23" s="212"/>
      <c r="D23" s="487"/>
      <c r="E23" s="487"/>
      <c r="F23" s="487"/>
      <c r="G23" s="76"/>
      <c r="H23" s="247"/>
      <c r="I23" s="513"/>
      <c r="J23" s="513"/>
      <c r="K23" s="83"/>
      <c r="L23" s="84"/>
    </row>
    <row r="24" spans="1:13" ht="20.149999999999999" customHeight="1" x14ac:dyDescent="0.45">
      <c r="A24" s="65"/>
      <c r="B24" s="243"/>
      <c r="C24" s="212"/>
      <c r="D24" s="487"/>
      <c r="E24" s="487"/>
      <c r="F24" s="487"/>
      <c r="G24" s="76"/>
      <c r="H24" s="247"/>
      <c r="I24" s="513"/>
      <c r="J24" s="513"/>
      <c r="K24" s="83"/>
      <c r="L24" s="84"/>
    </row>
    <row r="25" spans="1:13" ht="20.149999999999999" customHeight="1" x14ac:dyDescent="0.45">
      <c r="A25" s="65"/>
      <c r="B25" s="243"/>
      <c r="C25" s="212"/>
      <c r="D25" s="487"/>
      <c r="E25" s="487"/>
      <c r="F25" s="487"/>
      <c r="G25" s="76"/>
      <c r="H25" s="247"/>
      <c r="I25" s="513"/>
      <c r="J25" s="513"/>
      <c r="K25" s="83"/>
      <c r="L25" s="84"/>
    </row>
    <row r="26" spans="1:13" ht="20.149999999999999" customHeight="1" x14ac:dyDescent="0.45">
      <c r="A26" s="65"/>
      <c r="B26" s="243"/>
      <c r="C26" s="212"/>
      <c r="D26" s="487"/>
      <c r="E26" s="487"/>
      <c r="F26" s="487"/>
      <c r="G26" s="76"/>
      <c r="H26" s="247"/>
      <c r="I26" s="513"/>
      <c r="J26" s="513"/>
      <c r="K26" s="83"/>
      <c r="L26" s="84"/>
    </row>
    <row r="27" spans="1:13" ht="20.149999999999999" customHeight="1" x14ac:dyDescent="0.45">
      <c r="A27" s="65"/>
      <c r="B27" s="243"/>
      <c r="C27" s="212"/>
      <c r="D27" s="487"/>
      <c r="E27" s="487"/>
      <c r="F27" s="487"/>
      <c r="G27" s="76"/>
      <c r="H27" s="247"/>
      <c r="I27" s="513"/>
      <c r="J27" s="513"/>
      <c r="K27" s="83"/>
      <c r="L27" s="84"/>
    </row>
    <row r="28" spans="1:13" ht="20.149999999999999" customHeight="1" x14ac:dyDescent="0.45">
      <c r="A28" s="65"/>
      <c r="B28" s="243"/>
      <c r="C28" s="212"/>
      <c r="D28" s="487"/>
      <c r="E28" s="487"/>
      <c r="F28" s="487"/>
      <c r="G28" s="76"/>
      <c r="H28" s="183"/>
      <c r="I28" s="513"/>
      <c r="J28" s="513"/>
      <c r="K28" s="83"/>
      <c r="L28" s="84"/>
    </row>
    <row r="29" spans="1:13" ht="20.149999999999999" customHeight="1" x14ac:dyDescent="0.45">
      <c r="A29" s="65"/>
      <c r="B29" s="139"/>
      <c r="C29" s="129"/>
      <c r="D29" s="140"/>
      <c r="E29" s="140"/>
      <c r="F29" s="140"/>
      <c r="G29" s="129"/>
      <c r="H29" s="138"/>
      <c r="I29" s="517"/>
      <c r="J29" s="517"/>
      <c r="K29" s="95"/>
      <c r="L29" s="98"/>
      <c r="M29" s="63"/>
    </row>
    <row r="30" spans="1:13" ht="20.149999999999999" customHeight="1" thickBot="1" x14ac:dyDescent="0.5">
      <c r="A30" s="65"/>
      <c r="B30" s="141"/>
      <c r="C30" s="76"/>
      <c r="D30" s="65"/>
      <c r="E30" s="65"/>
      <c r="F30" s="65"/>
      <c r="G30" s="76"/>
      <c r="H30" s="82"/>
      <c r="I30" s="76"/>
      <c r="J30" s="76"/>
      <c r="K30" s="83"/>
      <c r="L30" s="84"/>
    </row>
    <row r="31" spans="1:13" ht="20.149999999999999" customHeight="1" x14ac:dyDescent="0.45">
      <c r="A31" s="65"/>
      <c r="B31" s="142" t="s">
        <v>16</v>
      </c>
      <c r="C31" s="135"/>
      <c r="D31" s="135"/>
      <c r="E31" s="135"/>
      <c r="F31" s="135"/>
      <c r="G31" s="135"/>
      <c r="H31" s="135"/>
      <c r="I31" s="135"/>
      <c r="J31" s="515" t="s">
        <v>13</v>
      </c>
      <c r="K31" s="516"/>
      <c r="L31" s="143">
        <f>SUM(L18:L30)</f>
        <v>177.5</v>
      </c>
      <c r="M31" s="63">
        <f>SUM(P18:P30)</f>
        <v>0</v>
      </c>
    </row>
    <row r="32" spans="1:1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v>0</v>
      </c>
      <c r="M32" s="63"/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91" t="s">
        <v>19</v>
      </c>
      <c r="K33" s="492"/>
      <c r="L33" s="41">
        <f>L31-L32</f>
        <v>177.5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15.975</v>
      </c>
    </row>
    <row r="35" spans="2:12" ht="20.149999999999999" customHeight="1" thickBot="1" x14ac:dyDescent="0.5">
      <c r="B35" s="10" t="s">
        <v>676</v>
      </c>
      <c r="C35" s="6"/>
      <c r="D35" s="6"/>
      <c r="E35" s="6"/>
      <c r="F35" s="6"/>
      <c r="G35" s="6"/>
      <c r="H35" s="6"/>
      <c r="I35" s="6"/>
      <c r="J35" s="485" t="s">
        <v>21</v>
      </c>
      <c r="K35" s="486"/>
      <c r="L35" s="43">
        <f>SUM(L32:L34)</f>
        <v>193.47499999999999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18" customHeight="1" x14ac:dyDescent="0.45">
      <c r="B37" s="144" t="s">
        <v>666</v>
      </c>
      <c r="L37" s="37"/>
    </row>
    <row r="38" spans="2:12" ht="18" customHeight="1" x14ac:dyDescent="0.45">
      <c r="B38" s="36"/>
      <c r="L38" s="37"/>
    </row>
    <row r="39" spans="2:12" ht="18" customHeight="1" x14ac:dyDescent="0.45">
      <c r="B39" s="36"/>
      <c r="L39" s="37"/>
    </row>
    <row r="40" spans="2:12" ht="18" customHeight="1" x14ac:dyDescent="0.45">
      <c r="B40" s="36"/>
      <c r="L40" s="37"/>
    </row>
    <row r="41" spans="2:12" ht="18" customHeight="1" x14ac:dyDescent="0.45">
      <c r="B41" s="36"/>
      <c r="L41" s="37"/>
    </row>
    <row r="42" spans="2:12" ht="18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  <row r="45" spans="2:12" ht="20.5" x14ac:dyDescent="0.45">
      <c r="F45" s="201"/>
    </row>
  </sheetData>
  <mergeCells count="4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9:J19"/>
    <mergeCell ref="I20:J20"/>
    <mergeCell ref="D22:F22"/>
    <mergeCell ref="I22:J22"/>
    <mergeCell ref="I17:J17"/>
    <mergeCell ref="D18:F18"/>
    <mergeCell ref="I18:J18"/>
    <mergeCell ref="D17:F17"/>
    <mergeCell ref="D20:F20"/>
    <mergeCell ref="D21:F21"/>
    <mergeCell ref="D19:F19"/>
    <mergeCell ref="I21:J21"/>
    <mergeCell ref="J31:K31"/>
    <mergeCell ref="J33:K33"/>
    <mergeCell ref="J35:K35"/>
    <mergeCell ref="D26:F26"/>
    <mergeCell ref="I26:J26"/>
    <mergeCell ref="D27:F27"/>
    <mergeCell ref="I27:J27"/>
    <mergeCell ref="D28:F28"/>
    <mergeCell ref="I28:J28"/>
    <mergeCell ref="I29:J29"/>
    <mergeCell ref="D23:F23"/>
    <mergeCell ref="I23:J23"/>
    <mergeCell ref="D25:F25"/>
    <mergeCell ref="I25:J25"/>
    <mergeCell ref="D24:F24"/>
    <mergeCell ref="I24:J24"/>
  </mergeCells>
  <hyperlinks>
    <hyperlink ref="B15" r:id="rId1" xr:uid="{B147FECE-C21B-4C63-8D42-6729D02DF76A}"/>
  </hyperlinks>
  <pageMargins left="0.51181102362204722" right="0.39370078740157483" top="0" bottom="0" header="0.31496062992125984" footer="0.31496062992125984"/>
  <pageSetup paperSize="9" scale="72" orientation="portrait" r:id="rId2"/>
  <drawing r:id="rId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49AEE-7390-490B-B92A-8D67C02AEBDE}">
  <sheetPr>
    <tabColor rgb="FF7030A0"/>
    <pageSetUpPr fitToPage="1"/>
  </sheetPr>
  <dimension ref="B1:V45"/>
  <sheetViews>
    <sheetView topLeftCell="A7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2018</v>
      </c>
      <c r="J10" s="24" t="s">
        <v>27</v>
      </c>
      <c r="K10" s="464">
        <v>202407290</v>
      </c>
      <c r="L10" s="465"/>
    </row>
    <row r="11" spans="2:14" ht="20.149999999999999" customHeight="1" x14ac:dyDescent="0.45">
      <c r="B11" s="466" t="s">
        <v>2038</v>
      </c>
      <c r="C11" s="467"/>
      <c r="D11" s="468"/>
      <c r="E11" s="25"/>
      <c r="F11" s="469" t="str">
        <f>VLOOKUP(H10,'Delivery Location'!A$4:N$466,2,0)</f>
        <v>Diablo Mart Pte Ltd                                         Diablo Mart @ WE                                           30 Sunview Way, Singapore 627544                Contact: Thomas  Hp: 81279825</v>
      </c>
      <c r="G11" s="470"/>
      <c r="H11" s="471"/>
      <c r="J11" s="26" t="s">
        <v>9</v>
      </c>
      <c r="K11" s="478">
        <v>45485</v>
      </c>
      <c r="L11" s="479"/>
    </row>
    <row r="12" spans="2:14" ht="20.149999999999999" customHeight="1" x14ac:dyDescent="0.45">
      <c r="B12" s="594" t="s">
        <v>2036</v>
      </c>
      <c r="C12" s="595"/>
      <c r="D12" s="596"/>
      <c r="E12" s="25"/>
      <c r="F12" s="472"/>
      <c r="G12" s="473"/>
      <c r="H12" s="474"/>
      <c r="J12" s="26" t="s">
        <v>127</v>
      </c>
      <c r="K12" s="500" t="s">
        <v>34</v>
      </c>
      <c r="L12" s="483"/>
    </row>
    <row r="13" spans="2:14" ht="20.149999999999999" customHeight="1" x14ac:dyDescent="0.45">
      <c r="B13" s="480" t="s">
        <v>2037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648</v>
      </c>
      <c r="L13" s="483"/>
    </row>
    <row r="14" spans="2:14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508"/>
      <c r="C15" s="509"/>
      <c r="D15" s="510"/>
      <c r="E15" s="21"/>
      <c r="F15" s="475"/>
      <c r="G15" s="476"/>
      <c r="H15" s="477"/>
      <c r="J15" s="27" t="s">
        <v>11</v>
      </c>
      <c r="K15" s="119" t="s">
        <v>587</v>
      </c>
      <c r="L15" s="118"/>
    </row>
    <row r="16" spans="2:14" ht="19" thickBot="1" x14ac:dyDescent="0.5">
      <c r="J16" s="17"/>
      <c r="N16" s="93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x14ac:dyDescent="0.45">
      <c r="B18" s="259"/>
      <c r="C18" s="212" t="s">
        <v>2054</v>
      </c>
      <c r="D18" s="487" t="str">
        <f>VLOOKUP(C18,'Sales Master'!B$3:D$537,2,)</f>
        <v>Grass Jelly 仙草冻</v>
      </c>
      <c r="E18" s="487"/>
      <c r="F18" s="487"/>
      <c r="G18" s="76">
        <v>50</v>
      </c>
      <c r="H18" s="209" t="str">
        <f>VLOOKUP(C18,'Sales Master'!$B$3:$F$2420,5,0)</f>
        <v>150 ML/ Bowl</v>
      </c>
      <c r="I18" s="568" t="str">
        <f>VLOOKUP(C18,'Sales Master'!$B$3:$E$2420,4,0)</f>
        <v>DO!</v>
      </c>
      <c r="J18" s="568"/>
      <c r="K18" s="83">
        <f>VLOOKUP(C18,'Sales Master'!B$3:CP$682,93,0)</f>
        <v>0.85</v>
      </c>
      <c r="L18" s="84">
        <f>K18*G18</f>
        <v>42.5</v>
      </c>
      <c r="M18" s="65"/>
      <c r="N18" s="145">
        <f>VLOOKUP(C18,'Sales Master'!$B$3:$DA$2279,104,0)</f>
        <v>0</v>
      </c>
      <c r="O18" s="145">
        <f>K18-N18</f>
        <v>0.85</v>
      </c>
      <c r="P18" s="145">
        <f>O18*G18</f>
        <v>42.5</v>
      </c>
      <c r="R18" s="19">
        <v>2</v>
      </c>
      <c r="S18" s="19" t="s">
        <v>34</v>
      </c>
      <c r="T18" s="19" t="s">
        <v>59</v>
      </c>
      <c r="V18" s="19">
        <v>6</v>
      </c>
    </row>
    <row r="19" spans="2:22" x14ac:dyDescent="0.45">
      <c r="B19" s="362"/>
      <c r="C19" s="212" t="s">
        <v>2056</v>
      </c>
      <c r="D19" s="487" t="str">
        <f>VLOOKUP(C19,'Sales Master'!B$3:D$537,2,)</f>
        <v>Herbal Jelly 菊花罗汉果冻</v>
      </c>
      <c r="E19" s="487"/>
      <c r="F19" s="487"/>
      <c r="G19" s="76">
        <v>50</v>
      </c>
      <c r="H19" s="209" t="str">
        <f>VLOOKUP(C19,'Sales Master'!$B$3:$F$2420,5,0)</f>
        <v>150 ML/ Bowl</v>
      </c>
      <c r="I19" s="568" t="str">
        <f>VLOOKUP(C19,'Sales Master'!$B$3:$E$2420,4,0)</f>
        <v>DO!</v>
      </c>
      <c r="J19" s="568"/>
      <c r="K19" s="83">
        <f>VLOOKUP(C19,'Sales Master'!B$3:CP$682,93,0)</f>
        <v>1.2</v>
      </c>
      <c r="L19" s="84">
        <f>K19*G19</f>
        <v>60</v>
      </c>
      <c r="M19" s="65"/>
      <c r="N19" s="145">
        <f>VLOOKUP(C19,'Sales Master'!$B$3:$DA$2279,104,0)</f>
        <v>0</v>
      </c>
      <c r="O19" s="145">
        <f>K19-N19</f>
        <v>1.2</v>
      </c>
      <c r="P19" s="145">
        <f>O19*G19</f>
        <v>60</v>
      </c>
    </row>
    <row r="20" spans="2:22" ht="20.149999999999999" customHeight="1" x14ac:dyDescent="0.45">
      <c r="B20" s="58"/>
      <c r="C20" s="212"/>
      <c r="D20" s="487"/>
      <c r="E20" s="487"/>
      <c r="F20" s="487"/>
      <c r="G20" s="76"/>
      <c r="H20" s="209"/>
      <c r="I20" s="568"/>
      <c r="J20" s="568"/>
      <c r="K20" s="83"/>
      <c r="L20" s="84"/>
      <c r="M20" s="65"/>
      <c r="N20" s="145"/>
      <c r="O20" s="145"/>
      <c r="P20" s="145"/>
    </row>
    <row r="21" spans="2:22" ht="20.149999999999999" customHeight="1" x14ac:dyDescent="0.45">
      <c r="B21" s="259"/>
      <c r="C21" s="212"/>
      <c r="D21" s="487"/>
      <c r="E21" s="487"/>
      <c r="F21" s="487"/>
      <c r="G21" s="76"/>
      <c r="H21" s="209"/>
      <c r="I21" s="568"/>
      <c r="J21" s="568"/>
      <c r="K21" s="83"/>
      <c r="L21" s="84"/>
      <c r="M21" s="65"/>
      <c r="N21" s="145"/>
      <c r="O21" s="145"/>
      <c r="P21" s="145"/>
    </row>
    <row r="22" spans="2:22" ht="20.149999999999999" customHeight="1" x14ac:dyDescent="0.45">
      <c r="B22" s="259"/>
      <c r="C22" s="212"/>
      <c r="D22" s="487"/>
      <c r="E22" s="487"/>
      <c r="F22" s="487"/>
      <c r="G22" s="76"/>
      <c r="H22" s="209"/>
      <c r="I22" s="568"/>
      <c r="J22" s="568"/>
      <c r="K22" s="83"/>
      <c r="L22" s="84"/>
      <c r="M22" s="65"/>
      <c r="N22" s="145"/>
      <c r="O22" s="145"/>
      <c r="P22" s="145"/>
    </row>
    <row r="23" spans="2:22" ht="20.149999999999999" customHeight="1" x14ac:dyDescent="0.45">
      <c r="B23" s="58"/>
      <c r="C23" s="212"/>
      <c r="D23" s="487"/>
      <c r="E23" s="487"/>
      <c r="F23" s="487"/>
      <c r="G23" s="76"/>
      <c r="H23" s="209"/>
      <c r="I23" s="568"/>
      <c r="J23" s="568"/>
      <c r="K23" s="83"/>
      <c r="L23" s="84"/>
      <c r="M23" s="65"/>
      <c r="N23" s="145"/>
      <c r="O23" s="145"/>
      <c r="P23" s="145"/>
    </row>
    <row r="24" spans="2:22" ht="20.149999999999999" customHeight="1" x14ac:dyDescent="0.45">
      <c r="B24" s="259"/>
      <c r="C24" s="212"/>
      <c r="D24" s="487"/>
      <c r="E24" s="487"/>
      <c r="F24" s="487"/>
      <c r="G24" s="17"/>
      <c r="H24" s="209"/>
      <c r="I24" s="568"/>
      <c r="J24" s="568"/>
      <c r="K24" s="83"/>
      <c r="L24" s="84"/>
      <c r="M24" s="65"/>
      <c r="N24" s="145"/>
      <c r="O24" s="145"/>
      <c r="P24" s="145"/>
    </row>
    <row r="25" spans="2:22" ht="20.149999999999999" customHeight="1" x14ac:dyDescent="0.45">
      <c r="B25" s="259"/>
      <c r="C25" s="212"/>
      <c r="D25" s="487"/>
      <c r="E25" s="487"/>
      <c r="F25" s="487"/>
      <c r="G25" s="76"/>
      <c r="H25" s="209"/>
      <c r="I25" s="568"/>
      <c r="J25" s="568"/>
      <c r="K25" s="83"/>
      <c r="L25" s="84"/>
      <c r="M25" s="65"/>
      <c r="N25" s="145"/>
      <c r="O25" s="145"/>
      <c r="P25" s="145"/>
    </row>
    <row r="26" spans="2:22" ht="20.149999999999999" customHeight="1" x14ac:dyDescent="0.45">
      <c r="B26" s="259"/>
      <c r="C26" s="212"/>
      <c r="D26" s="487"/>
      <c r="E26" s="487"/>
      <c r="F26" s="487"/>
      <c r="G26" s="76"/>
      <c r="H26" s="209"/>
      <c r="I26" s="568"/>
      <c r="J26" s="568"/>
      <c r="K26" s="83"/>
      <c r="L26" s="84"/>
      <c r="M26" s="65"/>
      <c r="N26" s="145"/>
      <c r="O26" s="145"/>
      <c r="P26" s="145"/>
    </row>
    <row r="27" spans="2:22" ht="20.149999999999999" customHeight="1" x14ac:dyDescent="0.45">
      <c r="B27" s="259"/>
      <c r="C27" s="212"/>
      <c r="D27" s="487"/>
      <c r="E27" s="487"/>
      <c r="F27" s="487"/>
      <c r="G27" s="76"/>
      <c r="H27" s="209"/>
      <c r="I27" s="568"/>
      <c r="J27" s="568"/>
      <c r="K27" s="83"/>
      <c r="L27" s="84"/>
      <c r="M27" s="65"/>
      <c r="N27" s="145"/>
      <c r="O27" s="145"/>
      <c r="P27" s="145"/>
    </row>
    <row r="28" spans="2:22" ht="20.149999999999999" customHeight="1" x14ac:dyDescent="0.45">
      <c r="B28" s="58"/>
      <c r="C28" s="212"/>
      <c r="D28" s="487"/>
      <c r="E28" s="487"/>
      <c r="F28" s="487"/>
      <c r="G28" s="17"/>
      <c r="H28" s="209"/>
      <c r="I28" s="568"/>
      <c r="J28" s="568"/>
      <c r="K28" s="83"/>
      <c r="L28" s="84"/>
      <c r="M28" s="65"/>
      <c r="N28" s="145"/>
      <c r="O28" s="145"/>
      <c r="P28" s="145"/>
    </row>
    <row r="29" spans="2:22" ht="20.149999999999999" customHeight="1" x14ac:dyDescent="0.45">
      <c r="B29" s="58"/>
      <c r="C29" s="17"/>
      <c r="D29" s="487"/>
      <c r="E29" s="487"/>
      <c r="F29" s="487"/>
      <c r="G29" s="76"/>
      <c r="H29" s="56"/>
      <c r="I29" s="494"/>
      <c r="J29" s="494"/>
      <c r="K29" s="83"/>
      <c r="L29" s="84"/>
    </row>
    <row r="30" spans="2:22" ht="20.149999999999999" customHeight="1" x14ac:dyDescent="0.45">
      <c r="B30" s="58"/>
      <c r="C30" s="17"/>
      <c r="D30" s="487"/>
      <c r="E30" s="487"/>
      <c r="F30" s="487"/>
      <c r="G30" s="76"/>
      <c r="H30" s="56"/>
      <c r="I30" s="494"/>
      <c r="J30" s="494"/>
      <c r="K30" s="83"/>
      <c r="L30" s="84"/>
    </row>
    <row r="31" spans="2:22" ht="20.149999999999999" customHeight="1" x14ac:dyDescent="0.45">
      <c r="B31" s="58"/>
      <c r="C31" s="17"/>
      <c r="D31" s="487"/>
      <c r="E31" s="487"/>
      <c r="F31" s="487"/>
      <c r="G31" s="76"/>
      <c r="H31" s="56"/>
      <c r="I31" s="494"/>
      <c r="J31" s="494"/>
      <c r="K31" s="83"/>
      <c r="L31" s="84"/>
    </row>
    <row r="32" spans="2:22" ht="20.149999999999999" customHeight="1" thickBot="1" x14ac:dyDescent="0.5">
      <c r="B32" s="47"/>
      <c r="C32" s="48"/>
      <c r="D32" s="48"/>
      <c r="E32" s="48"/>
      <c r="F32" s="48"/>
      <c r="G32" s="48"/>
      <c r="H32" s="48"/>
      <c r="I32" s="48"/>
      <c r="J32" s="48"/>
      <c r="K32" s="48"/>
      <c r="L32" s="49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89" t="s">
        <v>13</v>
      </c>
      <c r="K33" s="490"/>
      <c r="L33" s="38">
        <f>SUM(L18:L32)</f>
        <v>102.5</v>
      </c>
      <c r="M33" s="63">
        <f>SUM(P18:P32)</f>
        <v>102.5</v>
      </c>
      <c r="N33" s="133">
        <f>M33/L33</f>
        <v>1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91" t="s">
        <v>19</v>
      </c>
      <c r="K35" s="492"/>
      <c r="L35" s="41">
        <f>L33-L34</f>
        <v>102.5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9.2249999999999996</v>
      </c>
    </row>
    <row r="37" spans="2:14" ht="20.149999999999999" customHeight="1" thickBot="1" x14ac:dyDescent="0.5">
      <c r="B37" s="10" t="s">
        <v>676</v>
      </c>
      <c r="C37" s="6"/>
      <c r="D37" s="6"/>
      <c r="E37" s="6"/>
      <c r="F37" s="6"/>
      <c r="G37" s="6"/>
      <c r="H37" s="6"/>
      <c r="I37" s="6"/>
      <c r="J37" s="485" t="s">
        <v>21</v>
      </c>
      <c r="K37" s="486"/>
      <c r="L37" s="43">
        <f>L35+L36</f>
        <v>111.72499999999999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144" t="s">
        <v>666</v>
      </c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5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J37:K37"/>
    <mergeCell ref="D30:F30"/>
    <mergeCell ref="I30:J30"/>
    <mergeCell ref="D31:F31"/>
    <mergeCell ref="I31:J31"/>
    <mergeCell ref="J33:K33"/>
    <mergeCell ref="J35:K35"/>
  </mergeCells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401BA-39FB-48FB-A94A-E6E0BDA025E3}">
  <sheetPr>
    <tabColor rgb="FF7030A0"/>
    <pageSetUpPr fitToPage="1"/>
  </sheetPr>
  <dimension ref="B1:V48"/>
  <sheetViews>
    <sheetView topLeftCell="A31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4" width="9.6328125" style="19" bestFit="1" customWidth="1"/>
    <col min="15" max="15" width="11.7265625" style="19" bestFit="1" customWidth="1"/>
    <col min="16" max="16" width="12.6328125" style="19" bestFit="1" customWidth="1"/>
    <col min="17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2031</v>
      </c>
      <c r="J10" s="24" t="s">
        <v>27</v>
      </c>
      <c r="K10" s="464">
        <v>202504288</v>
      </c>
      <c r="L10" s="465"/>
    </row>
    <row r="11" spans="2:12" ht="20.149999999999999" customHeight="1" x14ac:dyDescent="0.45">
      <c r="B11" s="466" t="s">
        <v>2119</v>
      </c>
      <c r="C11" s="467"/>
      <c r="D11" s="468"/>
      <c r="E11" s="25"/>
      <c r="F11" s="469" t="str">
        <f>VLOOKUP(H10,'Delivery Location'!A$4:N$466,2,0)</f>
        <v>Hawkers Street Tampines-Drinks Stall            10 Tampines Central 1, #05-05/06/07, Tampines 1, Singapore 529536</v>
      </c>
      <c r="G11" s="470"/>
      <c r="H11" s="471"/>
      <c r="J11" s="26" t="s">
        <v>9</v>
      </c>
      <c r="K11" s="478">
        <v>45758</v>
      </c>
      <c r="L11" s="479"/>
    </row>
    <row r="12" spans="2:12" ht="20.149999999999999" customHeight="1" x14ac:dyDescent="0.45">
      <c r="B12" s="480" t="s">
        <v>2032</v>
      </c>
      <c r="C12" s="453"/>
      <c r="D12" s="481"/>
      <c r="E12" s="25"/>
      <c r="F12" s="472"/>
      <c r="G12" s="473"/>
      <c r="H12" s="474"/>
      <c r="J12" s="26" t="s">
        <v>127</v>
      </c>
      <c r="K12" s="597" t="s">
        <v>2308</v>
      </c>
      <c r="L12" s="598"/>
    </row>
    <row r="13" spans="2:12" ht="20.149999999999999" customHeight="1" x14ac:dyDescent="0.45">
      <c r="B13" s="594" t="s">
        <v>2033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609</v>
      </c>
      <c r="L13" s="483"/>
    </row>
    <row r="14" spans="2:12" ht="20.149999999999999" customHeight="1" x14ac:dyDescent="0.45">
      <c r="B14" s="480" t="s">
        <v>2034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08"/>
      <c r="C15" s="509"/>
      <c r="D15" s="510"/>
      <c r="E15" s="21"/>
      <c r="F15" s="475"/>
      <c r="G15" s="476"/>
      <c r="H15" s="477"/>
      <c r="J15" s="27" t="s">
        <v>11</v>
      </c>
      <c r="K15" s="119" t="s">
        <v>587</v>
      </c>
      <c r="L15" s="118"/>
    </row>
    <row r="16" spans="2:12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x14ac:dyDescent="0.45">
      <c r="B18" s="259" t="s">
        <v>2084</v>
      </c>
      <c r="C18" s="212" t="str">
        <f>VLOOKUP(B18,'Sales Master'!A$3:B$537,2,0)</f>
        <v>M1046C</v>
      </c>
      <c r="D18" s="556" t="str">
        <f>VLOOKUP(C18,'Sales Master'!B$3:D$537,2,)</f>
        <v>BLACK SESAME PASTE 黑芝麻糊</v>
      </c>
      <c r="E18" s="556"/>
      <c r="F18" s="556"/>
      <c r="G18" s="76">
        <v>12</v>
      </c>
      <c r="H18" s="399" t="str">
        <f>VLOOKUP(C18,'Sales Master'!$B$3:$F$2420,5,0)</f>
        <v>800 GM/ Pkt包</v>
      </c>
      <c r="I18" s="568" t="str">
        <f>VLOOKUP(C18,'Sales Master'!$B$3:$E$2420,4,0)</f>
        <v>DO!</v>
      </c>
      <c r="J18" s="568"/>
      <c r="K18" s="83">
        <f>VLOOKUP(C18,'Sales Master'!B$3:CQ$682,94,0)</f>
        <v>6.4</v>
      </c>
      <c r="L18" s="84">
        <f t="shared" ref="L18" si="0">K18*G18</f>
        <v>76.800000000000011</v>
      </c>
      <c r="M18" s="65"/>
      <c r="R18" s="19">
        <v>2</v>
      </c>
      <c r="S18" s="19" t="s">
        <v>34</v>
      </c>
      <c r="T18" s="19" t="s">
        <v>59</v>
      </c>
      <c r="V18" s="19">
        <v>6</v>
      </c>
    </row>
    <row r="19" spans="2:22" ht="20.149999999999999" customHeight="1" x14ac:dyDescent="0.45">
      <c r="B19" s="259" t="s">
        <v>2079</v>
      </c>
      <c r="C19" s="212" t="str">
        <f>VLOOKUP(B19,'Sales Master'!A$3:B$537,2,0)</f>
        <v>P3001B</v>
      </c>
      <c r="D19" s="487" t="str">
        <f>VLOOKUP(C19,'Sales Master'!B$3:D$537,2,)</f>
        <v>Atap Seeds in Syrup 亚嗒子</v>
      </c>
      <c r="E19" s="487"/>
      <c r="F19" s="487"/>
      <c r="G19" s="76">
        <v>1</v>
      </c>
      <c r="H19" s="399" t="str">
        <f>VLOOKUP(C19,'Sales Master'!$B$3:$F$2420,5,0)</f>
        <v>NW(1.6:0.6) 2.2kg/ Bag包</v>
      </c>
      <c r="I19" s="568" t="str">
        <f>VLOOKUP(C19,'Sales Master'!$B$3:$E$2420,4,0)</f>
        <v>DO!</v>
      </c>
      <c r="J19" s="568"/>
      <c r="K19" s="83">
        <f>VLOOKUP(C19,'Sales Master'!B$3:CQ$682,94,0)</f>
        <v>10.5</v>
      </c>
      <c r="L19" s="84">
        <f t="shared" ref="L19" si="1">K19*G19</f>
        <v>10.5</v>
      </c>
      <c r="M19" s="65"/>
    </row>
    <row r="20" spans="2:22" ht="20.149999999999999" customHeight="1" x14ac:dyDescent="0.45">
      <c r="B20" s="259" t="s">
        <v>2064</v>
      </c>
      <c r="C20" s="212" t="str">
        <f>VLOOKUP(B20,'Sales Master'!A$3:B$537,2,0)</f>
        <v>P3006A</v>
      </c>
      <c r="D20" s="487" t="str">
        <f>VLOOKUP(C20,'Sales Master'!B$3:D$537,2,)</f>
        <v>Small Red Bean 小红豆</v>
      </c>
      <c r="E20" s="487"/>
      <c r="F20" s="487"/>
      <c r="G20" s="76">
        <v>1</v>
      </c>
      <c r="H20" s="399" t="str">
        <f>VLOOKUP(C20,'Sales Master'!$B$3:$F$2420,5,0)</f>
        <v>5 KG</v>
      </c>
      <c r="I20" s="568" t="str">
        <f>VLOOKUP(C20,'Sales Master'!$B$3:$E$2420,4,0)</f>
        <v>-</v>
      </c>
      <c r="J20" s="568"/>
      <c r="K20" s="83">
        <f>VLOOKUP(C20,'Sales Master'!B$3:CQ$682,94,0)</f>
        <v>17.5</v>
      </c>
      <c r="L20" s="84">
        <f t="shared" ref="L20" si="2">K20*G20</f>
        <v>17.5</v>
      </c>
      <c r="M20" s="65"/>
    </row>
    <row r="21" spans="2:22" ht="20.149999999999999" customHeight="1" x14ac:dyDescent="0.45">
      <c r="B21" s="259" t="s">
        <v>2149</v>
      </c>
      <c r="C21" s="212" t="str">
        <f>VLOOKUP(B21,'Sales Master'!A$3:B$537,2,0)</f>
        <v>P4010</v>
      </c>
      <c r="D21" s="487" t="str">
        <f>VLOOKUP(C21,'Sales Master'!B$3:D$537,2,)</f>
        <v>Lychee in Syrup 荔枝</v>
      </c>
      <c r="E21" s="487"/>
      <c r="F21" s="487"/>
      <c r="G21" s="76">
        <v>1</v>
      </c>
      <c r="H21" s="399" t="str">
        <f>VLOOKUP(C21,'Sales Master'!$B$3:$F$2420,5,0)</f>
        <v>12can/箱</v>
      </c>
      <c r="I21" s="568" t="str">
        <f>VLOOKUP(C21,'Sales Master'!$B$3:$E$2420,4,0)</f>
        <v>MiLi</v>
      </c>
      <c r="J21" s="568"/>
      <c r="K21" s="83">
        <f>VLOOKUP(C21,'Sales Master'!B$3:CQ$682,94,0)</f>
        <v>26</v>
      </c>
      <c r="L21" s="84">
        <f>K21*G21</f>
        <v>26</v>
      </c>
      <c r="M21" s="65"/>
    </row>
    <row r="22" spans="2:22" ht="20.149999999999999" customHeight="1" x14ac:dyDescent="0.45">
      <c r="B22" s="259" t="s">
        <v>2069</v>
      </c>
      <c r="C22" s="212" t="str">
        <f>VLOOKUP(B22,'Sales Master'!A$3:B$537,2,0)</f>
        <v>P4053</v>
      </c>
      <c r="D22" s="524" t="str">
        <f>VLOOKUP(C22,'Sales Master'!B$3:D$537,2,)</f>
        <v>Coconut Milk 天然鲜椰浆</v>
      </c>
      <c r="E22" s="524"/>
      <c r="F22" s="524"/>
      <c r="G22" s="76">
        <v>12</v>
      </c>
      <c r="H22" s="399" t="str">
        <f>VLOOKUP(C22,'Sales Master'!$B$3:$F$2420,5,0)</f>
        <v>500GM/ Pkt包</v>
      </c>
      <c r="I22" s="568" t="str">
        <f>VLOOKUP(C22,'Sales Master'!$B$3:$E$2420,4,0)</f>
        <v>Heng Guan</v>
      </c>
      <c r="J22" s="568"/>
      <c r="K22" s="83">
        <f>VLOOKUP(C22,'Sales Master'!B$3:CQ$682,94,0)</f>
        <v>2.7</v>
      </c>
      <c r="L22" s="84">
        <f>K22*G22</f>
        <v>32.400000000000006</v>
      </c>
      <c r="M22" s="65"/>
    </row>
    <row r="23" spans="2:22" ht="20.149999999999999" customHeight="1" x14ac:dyDescent="0.45">
      <c r="B23" s="259" t="s">
        <v>2070</v>
      </c>
      <c r="C23" s="212" t="str">
        <f>VLOOKUP(B23,'Sales Master'!A$3:B$537,2,0)</f>
        <v>P5002A</v>
      </c>
      <c r="D23" s="487" t="str">
        <f>VLOOKUP(C23,'Sales Master'!B$3:D$537,2,)</f>
        <v>Brown Sugar 黑糖</v>
      </c>
      <c r="E23" s="487"/>
      <c r="F23" s="487"/>
      <c r="G23" s="76">
        <v>1</v>
      </c>
      <c r="H23" s="399" t="str">
        <f>VLOOKUP(C23,'Sales Master'!$B$3:$F$2420,5,0)</f>
        <v>6 KG</v>
      </c>
      <c r="I23" s="568" t="str">
        <f>VLOOKUP(C23,'Sales Master'!$B$3:$E$2420,4,0)</f>
        <v>Star</v>
      </c>
      <c r="J23" s="568"/>
      <c r="K23" s="83">
        <f>VLOOKUP(C23,'Sales Master'!B$3:CQ$682,94,0)</f>
        <v>17.5</v>
      </c>
      <c r="L23" s="84">
        <f>K23*G23</f>
        <v>17.5</v>
      </c>
      <c r="M23" s="65"/>
    </row>
    <row r="24" spans="2:22" ht="20.149999999999999" customHeight="1" x14ac:dyDescent="0.45">
      <c r="B24" s="259" t="s">
        <v>2071</v>
      </c>
      <c r="C24" s="212" t="str">
        <f>VLOOKUP(B24,'Sales Master'!A$3:B$537,2,0)</f>
        <v>P6002A</v>
      </c>
      <c r="D24" s="487" t="str">
        <f>VLOOKUP(C24,'Sales Master'!B$3:D$537,2,)</f>
        <v>Skinless Sweet Potato 去皮番薯</v>
      </c>
      <c r="E24" s="487"/>
      <c r="F24" s="487"/>
      <c r="G24" s="76">
        <v>3</v>
      </c>
      <c r="H24" s="399" t="str">
        <f>VLOOKUP(C24,'Sales Master'!$B$3:$F$2420,5,0)</f>
        <v>5 KG</v>
      </c>
      <c r="I24" s="568" t="str">
        <f>VLOOKUP(C24,'Sales Master'!$B$3:$E$2420,4,0)</f>
        <v>Malaysia</v>
      </c>
      <c r="J24" s="568"/>
      <c r="K24" s="83">
        <f>VLOOKUP(C24,'Sales Master'!B$3:CQ$682,94,0)</f>
        <v>17.5</v>
      </c>
      <c r="L24" s="84">
        <f>K24*G24</f>
        <v>52.5</v>
      </c>
      <c r="M24" s="65"/>
    </row>
    <row r="25" spans="2:22" ht="20.149999999999999" customHeight="1" x14ac:dyDescent="0.45">
      <c r="B25" s="259" t="s">
        <v>2077</v>
      </c>
      <c r="C25" s="212" t="str">
        <f>VLOOKUP(B25,'Sales Master'!A$3:B$537,2,0)</f>
        <v>P6008</v>
      </c>
      <c r="D25" s="487" t="str">
        <f>VLOOKUP(C25,'Sales Master'!B$3:D$537,2,)</f>
        <v>Lime 酸甘</v>
      </c>
      <c r="E25" s="487"/>
      <c r="F25" s="487"/>
      <c r="G25" s="76">
        <v>1</v>
      </c>
      <c r="H25" s="399" t="str">
        <f>VLOOKUP(C25,'Sales Master'!$B$3:$F$2420,5,0)</f>
        <v>1 KG</v>
      </c>
      <c r="I25" s="568" t="str">
        <f>VLOOKUP(C25,'Sales Master'!$B$3:$E$2420,4,0)</f>
        <v>-</v>
      </c>
      <c r="J25" s="568"/>
      <c r="K25" s="83">
        <f>VLOOKUP(C25,'Sales Master'!B$3:CQ$682,94,0)</f>
        <v>3</v>
      </c>
      <c r="L25" s="84">
        <f t="shared" ref="L25" si="3">K25*G25</f>
        <v>3</v>
      </c>
      <c r="M25" s="65"/>
    </row>
    <row r="26" spans="2:22" ht="20.149999999999999" customHeight="1" x14ac:dyDescent="0.45">
      <c r="B26" s="259" t="s">
        <v>2086</v>
      </c>
      <c r="C26" s="212" t="str">
        <f>VLOOKUP(B26,'Sales Master'!A$3:B$537,2,0)</f>
        <v>P6016</v>
      </c>
      <c r="D26" s="487" t="str">
        <f>VLOOKUP(C26,'Sales Master'!B$3:D$537,2,)</f>
        <v>Yellow Lemon 柠檬</v>
      </c>
      <c r="E26" s="487"/>
      <c r="F26" s="487"/>
      <c r="G26" s="76">
        <v>3</v>
      </c>
      <c r="H26" s="399" t="str">
        <f>VLOOKUP(C26,'Sales Master'!$B$3:$F$2420,5,0)</f>
        <v>1 KG</v>
      </c>
      <c r="I26" s="568" t="str">
        <f>VLOOKUP(C26,'Sales Master'!$B$3:$E$2420,4,0)</f>
        <v>-</v>
      </c>
      <c r="J26" s="568"/>
      <c r="K26" s="83">
        <f>VLOOKUP(C26,'Sales Master'!B$3:CQ$682,94,0)</f>
        <v>3.8</v>
      </c>
      <c r="L26" s="84">
        <f t="shared" ref="L26" si="4">K26*G26</f>
        <v>11.399999999999999</v>
      </c>
      <c r="M26" s="65"/>
    </row>
    <row r="27" spans="2:22" ht="20.149999999999999" customHeight="1" x14ac:dyDescent="0.45">
      <c r="B27" s="259"/>
      <c r="C27" s="212"/>
      <c r="D27" s="487"/>
      <c r="E27" s="487"/>
      <c r="F27" s="487"/>
      <c r="G27" s="76"/>
      <c r="H27" s="399"/>
      <c r="I27" s="568"/>
      <c r="J27" s="568"/>
      <c r="K27" s="83"/>
      <c r="L27" s="84"/>
      <c r="M27" s="65"/>
    </row>
    <row r="28" spans="2:22" ht="20.149999999999999" customHeight="1" x14ac:dyDescent="0.45">
      <c r="B28" s="259"/>
      <c r="C28" s="212"/>
      <c r="D28" s="524"/>
      <c r="E28" s="524"/>
      <c r="F28" s="524"/>
      <c r="G28" s="76"/>
      <c r="H28" s="399"/>
      <c r="I28" s="568"/>
      <c r="J28" s="568"/>
      <c r="K28" s="83"/>
      <c r="L28" s="84"/>
      <c r="M28" s="65"/>
    </row>
    <row r="29" spans="2:22" ht="20.149999999999999" customHeight="1" x14ac:dyDescent="0.45">
      <c r="B29" s="259"/>
      <c r="C29" s="212"/>
      <c r="D29" s="487"/>
      <c r="E29" s="487"/>
      <c r="F29" s="487"/>
      <c r="G29" s="76"/>
      <c r="H29" s="399"/>
      <c r="I29" s="568"/>
      <c r="J29" s="568"/>
      <c r="K29" s="83"/>
      <c r="L29" s="84"/>
      <c r="M29" s="65"/>
    </row>
    <row r="30" spans="2:22" ht="20.149999999999999" customHeight="1" x14ac:dyDescent="0.45">
      <c r="B30" s="259"/>
      <c r="C30" s="212"/>
      <c r="D30" s="487"/>
      <c r="E30" s="487"/>
      <c r="F30" s="487"/>
      <c r="G30" s="76"/>
      <c r="H30" s="399"/>
      <c r="I30" s="568"/>
      <c r="J30" s="568"/>
      <c r="K30" s="83"/>
      <c r="L30" s="84"/>
      <c r="M30" s="65"/>
    </row>
    <row r="31" spans="2:22" ht="20.149999999999999" customHeight="1" x14ac:dyDescent="0.45">
      <c r="B31" s="259"/>
      <c r="C31" s="212"/>
      <c r="D31" s="487"/>
      <c r="E31" s="487"/>
      <c r="F31" s="487"/>
      <c r="G31" s="76"/>
      <c r="H31" s="399"/>
      <c r="I31" s="568"/>
      <c r="J31" s="568"/>
      <c r="K31" s="83"/>
      <c r="L31" s="84"/>
      <c r="M31" s="65"/>
    </row>
    <row r="32" spans="2:22" ht="20.149999999999999" customHeight="1" x14ac:dyDescent="0.45">
      <c r="B32" s="259"/>
      <c r="C32" s="212"/>
      <c r="D32" s="487"/>
      <c r="E32" s="487"/>
      <c r="F32" s="487"/>
      <c r="G32" s="76"/>
      <c r="H32" s="399"/>
      <c r="I32" s="568"/>
      <c r="J32" s="568"/>
      <c r="K32" s="83"/>
      <c r="L32" s="84"/>
      <c r="M32" s="65"/>
    </row>
    <row r="33" spans="2:13" ht="20.149999999999999" customHeight="1" x14ac:dyDescent="0.45">
      <c r="B33" s="259"/>
      <c r="C33" s="212"/>
      <c r="G33" s="76"/>
      <c r="H33" s="399"/>
      <c r="I33" s="183"/>
      <c r="J33" s="183"/>
      <c r="K33" s="83"/>
      <c r="L33" s="84"/>
      <c r="M33" s="65"/>
    </row>
    <row r="34" spans="2:13" ht="20.149999999999999" customHeight="1" x14ac:dyDescent="0.45">
      <c r="B34" s="58"/>
      <c r="C34" s="17"/>
      <c r="G34" s="76"/>
      <c r="H34" s="209"/>
      <c r="I34" s="183"/>
      <c r="J34" s="183"/>
      <c r="K34" s="83"/>
      <c r="L34" s="84"/>
      <c r="M34" s="65"/>
    </row>
    <row r="35" spans="2:13" ht="20.149999999999999" customHeight="1" thickBot="1" x14ac:dyDescent="0.5">
      <c r="B35" s="47"/>
      <c r="C35" s="48"/>
      <c r="D35" s="48"/>
      <c r="E35" s="48"/>
      <c r="F35" s="48"/>
      <c r="G35" s="48"/>
      <c r="H35" s="48"/>
      <c r="I35" s="48"/>
      <c r="J35" s="48"/>
      <c r="K35" s="48"/>
      <c r="L35" s="49"/>
    </row>
    <row r="36" spans="2:13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89" t="s">
        <v>13</v>
      </c>
      <c r="K36" s="490"/>
      <c r="L36" s="38">
        <f>SUM(L18:L35)</f>
        <v>247.60000000000002</v>
      </c>
      <c r="M36" s="63">
        <f>SUM(P18:P35)</f>
        <v>0</v>
      </c>
    </row>
    <row r="37" spans="2:13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v>0</v>
      </c>
    </row>
    <row r="38" spans="2:13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91" t="s">
        <v>19</v>
      </c>
      <c r="K38" s="492"/>
      <c r="L38" s="41">
        <f>L36-L37</f>
        <v>247.60000000000002</v>
      </c>
    </row>
    <row r="39" spans="2:13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22.284000000000002</v>
      </c>
    </row>
    <row r="40" spans="2:13" ht="20.149999999999999" customHeight="1" thickBot="1" x14ac:dyDescent="0.5">
      <c r="B40" s="10" t="s">
        <v>676</v>
      </c>
      <c r="C40" s="6"/>
      <c r="D40" s="6"/>
      <c r="E40" s="6"/>
      <c r="F40" s="6"/>
      <c r="G40" s="6"/>
      <c r="H40" s="6"/>
      <c r="I40" s="6"/>
      <c r="J40" s="485" t="s">
        <v>21</v>
      </c>
      <c r="K40" s="486"/>
      <c r="L40" s="43">
        <f>L38+L39</f>
        <v>269.88400000000001</v>
      </c>
    </row>
    <row r="41" spans="2:13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3" ht="20.149999999999999" customHeight="1" x14ac:dyDescent="0.45">
      <c r="B42" s="144" t="s">
        <v>666</v>
      </c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44"/>
      <c r="C46" s="45"/>
      <c r="D46" s="45"/>
      <c r="J46" s="45"/>
      <c r="K46" s="45"/>
      <c r="L46" s="46"/>
    </row>
    <row r="47" spans="2:13" ht="20.149999999999999" customHeight="1" x14ac:dyDescent="0.45">
      <c r="B47" s="36" t="s">
        <v>25</v>
      </c>
      <c r="J47" s="19" t="s">
        <v>26</v>
      </c>
      <c r="L47" s="37"/>
    </row>
    <row r="48" spans="2:13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47">
    <mergeCell ref="I20:J20"/>
    <mergeCell ref="I25:J25"/>
    <mergeCell ref="D18:F18"/>
    <mergeCell ref="I18:J18"/>
    <mergeCell ref="D30:F30"/>
    <mergeCell ref="D29:F29"/>
    <mergeCell ref="D28:F28"/>
    <mergeCell ref="I28:J28"/>
    <mergeCell ref="D25:F25"/>
    <mergeCell ref="I29:J29"/>
    <mergeCell ref="D23:F23"/>
    <mergeCell ref="I30:J30"/>
    <mergeCell ref="I23:J23"/>
    <mergeCell ref="D22:F22"/>
    <mergeCell ref="D26:F26"/>
    <mergeCell ref="I26:J26"/>
    <mergeCell ref="D20:F20"/>
    <mergeCell ref="I19:J19"/>
    <mergeCell ref="D19:F19"/>
    <mergeCell ref="I22:J22"/>
    <mergeCell ref="I24:J24"/>
    <mergeCell ref="J40:K40"/>
    <mergeCell ref="J36:K36"/>
    <mergeCell ref="J38:K38"/>
    <mergeCell ref="D31:F31"/>
    <mergeCell ref="I31:J31"/>
    <mergeCell ref="D32:F32"/>
    <mergeCell ref="I32:J32"/>
    <mergeCell ref="D27:F27"/>
    <mergeCell ref="D21:F21"/>
    <mergeCell ref="D24:F24"/>
    <mergeCell ref="I27:J27"/>
    <mergeCell ref="I21:J21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98425196850393704" right="0.23622047244094499" top="0" bottom="0" header="0" footer="0"/>
  <pageSetup paperSize="9" scale="72" orientation="portrait" r:id="rId1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11ED5-F1AC-4E5F-978D-24695A948DEC}">
  <sheetPr>
    <tabColor rgb="FF7030A0"/>
    <pageSetUpPr fitToPage="1"/>
  </sheetPr>
  <dimension ref="B1:M49"/>
  <sheetViews>
    <sheetView topLeftCell="A15" workbookViewId="0">
      <selection activeCell="G21" sqref="G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26953125" style="19" customWidth="1"/>
    <col min="9" max="9" width="2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346">
        <v>0.09</v>
      </c>
    </row>
    <row r="2" spans="2:13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3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3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3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3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3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3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2041</v>
      </c>
      <c r="J10" s="24" t="s">
        <v>27</v>
      </c>
      <c r="K10" s="464">
        <v>202504263</v>
      </c>
      <c r="L10" s="465"/>
    </row>
    <row r="11" spans="2:13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 - DIM SUM                                            Block 478 Tampines Street 44                       #01-221 Singapore 250478                                               </v>
      </c>
      <c r="G11" s="470"/>
      <c r="H11" s="471"/>
      <c r="J11" s="26" t="s">
        <v>9</v>
      </c>
      <c r="K11" s="478">
        <v>45757</v>
      </c>
      <c r="L11" s="479"/>
    </row>
    <row r="12" spans="2:13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548" t="s">
        <v>34</v>
      </c>
      <c r="L12" s="483"/>
    </row>
    <row r="13" spans="2:13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3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3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119" t="s">
        <v>587</v>
      </c>
      <c r="L15" s="118"/>
    </row>
    <row r="16" spans="2:13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2" t="s">
        <v>713</v>
      </c>
      <c r="D18" s="463" t="str">
        <f>VLOOKUP(C18,'Sales Master'!B$3:D$537,2,)</f>
        <v>Chendol 浆咯</v>
      </c>
      <c r="E18" s="463"/>
      <c r="F18" s="463"/>
      <c r="G18" s="17">
        <v>1</v>
      </c>
      <c r="H18" s="263" t="str">
        <f>VLOOKUP(C18,'Sales Master'!$B$3:$F$2420,5,0)</f>
        <v>NW(2.2:0.8) 3kg/ Pkt包</v>
      </c>
      <c r="I18" s="484" t="str">
        <f>VLOOKUP(C18,'Sales Master'!$B$3:$E$2420,4,0)</f>
        <v>DO!</v>
      </c>
      <c r="J18" s="484"/>
      <c r="K18" s="30">
        <f>VLOOKUP(C18,'Sales Master'!$B$3:$CM$537,90,0)</f>
        <v>6.5</v>
      </c>
      <c r="L18" s="64">
        <f t="shared" ref="L18" si="0">K18*G18</f>
        <v>6.5</v>
      </c>
    </row>
    <row r="19" spans="2:13" ht="20.149999999999999" customHeight="1" x14ac:dyDescent="0.45">
      <c r="B19" s="29"/>
      <c r="C19" s="212" t="s">
        <v>807</v>
      </c>
      <c r="D19" s="493" t="str">
        <f>VLOOKUP(C19,'Sales Master'!B$3:D$537,2,)</f>
        <v>Chin Chow  仙草</v>
      </c>
      <c r="E19" s="493"/>
      <c r="F19" s="493"/>
      <c r="G19" s="17">
        <v>1</v>
      </c>
      <c r="H19" s="263" t="str">
        <f>VLOOKUP(C19,'Sales Master'!$B$3:$F$2420,5,0)</f>
        <v>4 KG/ Pkt包</v>
      </c>
      <c r="I19" s="484" t="str">
        <f>VLOOKUP(C19,'Sales Master'!$B$3:$E$2420,4,0)</f>
        <v>TSM</v>
      </c>
      <c r="J19" s="484"/>
      <c r="K19" s="30">
        <f>VLOOKUP(C19,'Sales Master'!$B$3:$CM$537,90,0)</f>
        <v>6</v>
      </c>
      <c r="L19" s="64">
        <f>K19*G19</f>
        <v>6</v>
      </c>
    </row>
    <row r="20" spans="2:13" ht="20.149999999999999" customHeight="1" x14ac:dyDescent="0.45">
      <c r="B20" s="29"/>
      <c r="C20" s="212" t="s">
        <v>1854</v>
      </c>
      <c r="D20" s="493" t="str">
        <f>VLOOKUP(C20,'Sales Master'!B$3:D$537,2,)</f>
        <v>Tapioca木薯</v>
      </c>
      <c r="E20" s="493"/>
      <c r="F20" s="493"/>
      <c r="G20" s="17">
        <v>1</v>
      </c>
      <c r="H20" s="263" t="str">
        <f>VLOOKUP(C20,'Sales Master'!$B$3:$F$2420,5,0)</f>
        <v>5 KGS</v>
      </c>
      <c r="I20" s="484" t="str">
        <f>VLOOKUP(C20,'Sales Master'!$B$3:$E$2420,4,0)</f>
        <v>-</v>
      </c>
      <c r="J20" s="484"/>
      <c r="K20" s="30">
        <f>VLOOKUP(C20,'Sales Master'!$B$3:$CM$537,90,0)</f>
        <v>9</v>
      </c>
      <c r="L20" s="64">
        <f>K20*G20</f>
        <v>9</v>
      </c>
    </row>
    <row r="21" spans="2:13" ht="20.149999999999999" customHeight="1" x14ac:dyDescent="0.45">
      <c r="B21" s="29"/>
      <c r="C21" s="212" t="s">
        <v>1004</v>
      </c>
      <c r="D21" s="493" t="str">
        <f>VLOOKUP(C21,'Sales Master'!B$3:D$537,2,)</f>
        <v>Sweet Potato 番薯</v>
      </c>
      <c r="E21" s="493"/>
      <c r="F21" s="493"/>
      <c r="G21" s="17">
        <v>40</v>
      </c>
      <c r="H21" s="263" t="str">
        <f>VLOOKUP(C21,'Sales Master'!$B$3:$F$2420,5,0)</f>
        <v>1 KG</v>
      </c>
      <c r="I21" s="484" t="str">
        <f>VLOOKUP(C21,'Sales Master'!$B$3:$E$2420,4,0)</f>
        <v>-</v>
      </c>
      <c r="J21" s="484"/>
      <c r="K21" s="30">
        <f>VLOOKUP(C21,'Sales Master'!$B$3:$CM$537,90,0)</f>
        <v>2.5</v>
      </c>
      <c r="L21" s="64">
        <f>K21*G21</f>
        <v>100</v>
      </c>
    </row>
    <row r="22" spans="2:13" ht="20.149999999999999" customHeight="1" x14ac:dyDescent="0.45">
      <c r="B22" s="29"/>
      <c r="C22" s="212"/>
      <c r="D22" s="493"/>
      <c r="E22" s="493"/>
      <c r="F22" s="493"/>
      <c r="G22" s="17"/>
      <c r="H22" s="263"/>
      <c r="I22" s="484"/>
      <c r="J22" s="484"/>
      <c r="K22" s="30"/>
      <c r="L22" s="64"/>
    </row>
    <row r="23" spans="2:13" ht="20.149999999999999" customHeight="1" x14ac:dyDescent="0.45">
      <c r="B23" s="29"/>
      <c r="C23" s="212"/>
      <c r="D23" s="493"/>
      <c r="E23" s="493"/>
      <c r="F23" s="493"/>
      <c r="G23" s="17"/>
      <c r="H23" s="263"/>
      <c r="I23" s="484"/>
      <c r="J23" s="484"/>
      <c r="K23" s="30"/>
      <c r="L23" s="64"/>
    </row>
    <row r="24" spans="2:13" ht="20.149999999999999" customHeight="1" x14ac:dyDescent="0.45">
      <c r="B24" s="29"/>
      <c r="C24" s="212"/>
      <c r="D24" s="493"/>
      <c r="E24" s="493"/>
      <c r="F24" s="493"/>
      <c r="G24" s="17"/>
      <c r="H24" s="263"/>
      <c r="I24" s="484"/>
      <c r="J24" s="484"/>
      <c r="K24" s="30"/>
      <c r="L24" s="64"/>
    </row>
    <row r="25" spans="2:13" ht="20.149999999999999" customHeight="1" x14ac:dyDescent="0.45">
      <c r="B25" s="29"/>
      <c r="C25" s="212"/>
      <c r="D25" s="493"/>
      <c r="E25" s="493"/>
      <c r="F25" s="493"/>
      <c r="G25" s="17"/>
      <c r="H25" s="263"/>
      <c r="I25" s="484"/>
      <c r="J25" s="484"/>
      <c r="K25" s="30"/>
      <c r="L25" s="64"/>
    </row>
    <row r="26" spans="2:13" ht="20.149999999999999" customHeight="1" x14ac:dyDescent="0.45">
      <c r="B26" s="29"/>
      <c r="C26" s="212"/>
      <c r="D26" s="493"/>
      <c r="E26" s="493"/>
      <c r="F26" s="493"/>
      <c r="G26" s="17"/>
      <c r="H26" s="263"/>
      <c r="I26" s="484"/>
      <c r="J26" s="484"/>
      <c r="K26" s="30"/>
      <c r="L26" s="64"/>
    </row>
    <row r="27" spans="2:13" ht="20.149999999999999" customHeight="1" x14ac:dyDescent="0.45">
      <c r="B27" s="29"/>
      <c r="C27" s="212"/>
      <c r="D27" s="493"/>
      <c r="E27" s="493"/>
      <c r="F27" s="493"/>
      <c r="G27" s="17"/>
      <c r="H27" s="263"/>
      <c r="I27" s="484"/>
      <c r="J27" s="484"/>
      <c r="K27" s="30"/>
      <c r="L27" s="64"/>
    </row>
    <row r="28" spans="2:13" ht="20.149999999999999" customHeight="1" x14ac:dyDescent="0.45">
      <c r="B28" s="29"/>
      <c r="C28" s="212"/>
      <c r="D28" s="493"/>
      <c r="E28" s="493"/>
      <c r="F28" s="493"/>
      <c r="G28" s="17"/>
      <c r="H28" s="263"/>
      <c r="I28" s="484"/>
      <c r="J28" s="484"/>
      <c r="K28" s="30"/>
      <c r="L28" s="64"/>
    </row>
    <row r="29" spans="2:13" ht="20.149999999999999" customHeight="1" x14ac:dyDescent="0.45">
      <c r="B29" s="29"/>
      <c r="C29" s="212"/>
      <c r="D29" s="493"/>
      <c r="E29" s="493"/>
      <c r="F29" s="493"/>
      <c r="G29" s="17"/>
      <c r="H29" s="263"/>
      <c r="I29" s="484"/>
      <c r="J29" s="484"/>
      <c r="K29" s="30"/>
      <c r="L29" s="64"/>
    </row>
    <row r="30" spans="2:13" ht="20.149999999999999" customHeight="1" x14ac:dyDescent="0.45">
      <c r="B30" s="29"/>
      <c r="C30" s="212"/>
      <c r="D30" s="493"/>
      <c r="E30" s="493"/>
      <c r="F30" s="493"/>
      <c r="G30" s="17"/>
      <c r="H30" s="263"/>
      <c r="I30" s="484"/>
      <c r="J30" s="484"/>
      <c r="K30" s="30"/>
      <c r="L30" s="64"/>
    </row>
    <row r="31" spans="2:13" ht="20.149999999999999" customHeight="1" x14ac:dyDescent="0.45">
      <c r="B31" s="29"/>
      <c r="C31" s="212"/>
      <c r="D31" s="147"/>
      <c r="E31" s="147"/>
      <c r="F31" s="147"/>
      <c r="G31" s="17"/>
      <c r="H31" s="263"/>
      <c r="I31" s="208"/>
      <c r="J31" s="208"/>
      <c r="K31" s="30"/>
      <c r="L31" s="64"/>
    </row>
    <row r="32" spans="2:13" ht="20.149999999999999" customHeight="1" x14ac:dyDescent="0.45">
      <c r="B32" s="29"/>
      <c r="C32" s="212"/>
      <c r="D32" s="147"/>
      <c r="E32" s="147"/>
      <c r="F32" s="147"/>
      <c r="G32" s="17"/>
      <c r="H32" s="263"/>
      <c r="I32" s="208"/>
      <c r="J32" s="208"/>
      <c r="K32" s="30"/>
      <c r="L32" s="64"/>
    </row>
    <row r="33" spans="2:13" ht="20.149999999999999" customHeight="1" x14ac:dyDescent="0.45">
      <c r="B33" s="29"/>
      <c r="C33" s="212"/>
      <c r="D33" s="147"/>
      <c r="E33" s="147"/>
      <c r="F33" s="147"/>
      <c r="G33" s="17"/>
      <c r="H33" s="186"/>
      <c r="I33" s="208"/>
      <c r="J33" s="208"/>
      <c r="K33" s="30"/>
      <c r="L33" s="64"/>
    </row>
    <row r="34" spans="2:13" ht="20.149999999999999" customHeight="1" x14ac:dyDescent="0.45">
      <c r="B34" s="29"/>
      <c r="C34" s="212"/>
      <c r="D34" s="493"/>
      <c r="E34" s="493"/>
      <c r="F34" s="493"/>
      <c r="G34" s="17"/>
      <c r="H34" s="186"/>
      <c r="I34" s="484"/>
      <c r="J34" s="484"/>
      <c r="K34" s="30"/>
      <c r="L34" s="64"/>
    </row>
    <row r="35" spans="2:13" ht="20.149999999999999" customHeight="1" thickBot="1" x14ac:dyDescent="0.5">
      <c r="B35" s="32"/>
      <c r="C35" s="33"/>
      <c r="D35" s="488"/>
      <c r="E35" s="488"/>
      <c r="F35" s="488"/>
      <c r="G35" s="33"/>
      <c r="H35" s="33"/>
      <c r="I35" s="33"/>
      <c r="J35" s="33"/>
      <c r="K35" s="34"/>
      <c r="L35" s="35"/>
    </row>
    <row r="36" spans="2:13" ht="20.149999999999999" customHeight="1" thickBot="1" x14ac:dyDescent="0.5">
      <c r="B36" s="36"/>
      <c r="L36" s="37"/>
    </row>
    <row r="37" spans="2:13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89" t="s">
        <v>13</v>
      </c>
      <c r="K37" s="490"/>
      <c r="L37" s="38">
        <f>SUM(L17:L35)</f>
        <v>121.5</v>
      </c>
      <c r="M37" s="63">
        <f>SUM(P7:P36)</f>
        <v>0</v>
      </c>
    </row>
    <row r="38" spans="2:13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3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91" t="s">
        <v>19</v>
      </c>
      <c r="K39" s="492"/>
      <c r="L39" s="41">
        <f>L37-L38</f>
        <v>121.5</v>
      </c>
      <c r="M39" s="63"/>
    </row>
    <row r="40" spans="2:13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10.934999999999999</v>
      </c>
    </row>
    <row r="41" spans="2:13" ht="20.149999999999999" customHeight="1" thickBot="1" x14ac:dyDescent="0.5">
      <c r="B41" s="10" t="s">
        <v>23</v>
      </c>
      <c r="C41" s="6"/>
      <c r="D41" s="6"/>
      <c r="E41" s="6"/>
      <c r="F41" s="6"/>
      <c r="G41" s="6"/>
      <c r="H41" s="6"/>
      <c r="I41" s="6"/>
      <c r="J41" s="485" t="s">
        <v>21</v>
      </c>
      <c r="K41" s="486"/>
      <c r="L41" s="43">
        <f>L39+L40</f>
        <v>132.435</v>
      </c>
    </row>
    <row r="42" spans="2:13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44"/>
      <c r="C47" s="45"/>
      <c r="D47" s="45"/>
      <c r="J47" s="45"/>
      <c r="K47" s="45"/>
      <c r="L47" s="46"/>
    </row>
    <row r="48" spans="2:13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</sheetData>
  <mergeCells count="46">
    <mergeCell ref="D27:F27"/>
    <mergeCell ref="I23:J23"/>
    <mergeCell ref="D20:F20"/>
    <mergeCell ref="I20:J20"/>
    <mergeCell ref="D23:F23"/>
    <mergeCell ref="I27:J27"/>
    <mergeCell ref="D21:F21"/>
    <mergeCell ref="I21:J21"/>
    <mergeCell ref="D26:F26"/>
    <mergeCell ref="I24:J24"/>
    <mergeCell ref="I26:J26"/>
    <mergeCell ref="I17:J17"/>
    <mergeCell ref="D18:F18"/>
    <mergeCell ref="I18:J18"/>
    <mergeCell ref="D17:F17"/>
    <mergeCell ref="I25:J25"/>
    <mergeCell ref="D25:F25"/>
    <mergeCell ref="D19:F19"/>
    <mergeCell ref="I19:J19"/>
    <mergeCell ref="D22:F22"/>
    <mergeCell ref="I22:J22"/>
    <mergeCell ref="D24:F24"/>
    <mergeCell ref="J41:K41"/>
    <mergeCell ref="D28:F28"/>
    <mergeCell ref="I28:J28"/>
    <mergeCell ref="D34:F34"/>
    <mergeCell ref="I34:J34"/>
    <mergeCell ref="D35:F35"/>
    <mergeCell ref="J37:K37"/>
    <mergeCell ref="J39:K39"/>
    <mergeCell ref="D30:F30"/>
    <mergeCell ref="I30:J30"/>
    <mergeCell ref="D29:F29"/>
    <mergeCell ref="I29:J2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70866141732283505" right="0.31496062992126" top="0.59055118110236204" bottom="0" header="0.31496062992126" footer="0.31496062992126"/>
  <pageSetup paperSize="9" scale="76" orientation="portrait" r:id="rId1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2BAF7-F85B-4736-93B5-5FC533589727}">
  <sheetPr>
    <tabColor rgb="FF7030A0"/>
    <pageSetUpPr fitToPage="1"/>
  </sheetPr>
  <dimension ref="B1:L45"/>
  <sheetViews>
    <sheetView topLeftCell="D4" workbookViewId="0">
      <selection activeCell="N3" sqref="N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26953125" style="19" customWidth="1"/>
    <col min="9" max="9" width="2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2053</v>
      </c>
      <c r="J10" s="24" t="s">
        <v>27</v>
      </c>
      <c r="K10" s="464">
        <v>202501220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Koufu - Drinks                                                              70 Jellicoe Road #01-03                         V Hotel Lavender,                    Singapore 208767</v>
      </c>
      <c r="G11" s="470"/>
      <c r="H11" s="471"/>
      <c r="J11" s="26" t="s">
        <v>9</v>
      </c>
      <c r="K11" s="478">
        <v>45667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119" t="s">
        <v>587</v>
      </c>
      <c r="L15" s="118"/>
    </row>
    <row r="16" spans="2:12" ht="19" thickBot="1" x14ac:dyDescent="0.5">
      <c r="J16" s="17"/>
    </row>
    <row r="17" spans="2:1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</row>
    <row r="18" spans="2:12" ht="20.149999999999999" customHeight="1" x14ac:dyDescent="0.45">
      <c r="B18" s="29"/>
      <c r="C18" s="212" t="s">
        <v>817</v>
      </c>
      <c r="D18" s="463" t="str">
        <f>VLOOKUP(C18,'Sales Master'!B$3:D$537,2,)</f>
        <v>Small Red Bean 小红豆</v>
      </c>
      <c r="E18" s="463"/>
      <c r="F18" s="463"/>
      <c r="G18" s="17">
        <v>2</v>
      </c>
      <c r="H18" s="186" t="str">
        <f>VLOOKUP(C18,'Sales Master'!$B$3:$F$2420,5,0)</f>
        <v>5 KG</v>
      </c>
      <c r="I18" s="484" t="str">
        <f>VLOOKUP(C18,'Sales Master'!$B$3:$E$2420,4,0)</f>
        <v>-</v>
      </c>
      <c r="J18" s="484"/>
      <c r="K18" s="30">
        <f>VLOOKUP(C18,'Sales Master'!$B$3:$T3010,19,0)</f>
        <v>17.5</v>
      </c>
      <c r="L18" s="64">
        <f>K18*G18</f>
        <v>35</v>
      </c>
    </row>
    <row r="19" spans="2:12" ht="20.149999999999999" customHeight="1" x14ac:dyDescent="0.45">
      <c r="B19" s="29"/>
      <c r="C19" s="212" t="s">
        <v>825</v>
      </c>
      <c r="D19" s="493" t="str">
        <f>VLOOKUP(C19,'Sales Master'!B$3:D$537,2,)</f>
        <v>Green Bean 绿豆</v>
      </c>
      <c r="E19" s="493"/>
      <c r="F19" s="493"/>
      <c r="G19" s="17">
        <v>2</v>
      </c>
      <c r="H19" s="186" t="str">
        <f>VLOOKUP(C19,'Sales Master'!$B$3:$F$2420,5,0)</f>
        <v>5 KG</v>
      </c>
      <c r="I19" s="484" t="str">
        <f>VLOOKUP(C19,'Sales Master'!$B$3:$E$2420,4,0)</f>
        <v>-</v>
      </c>
      <c r="J19" s="484"/>
      <c r="K19" s="30">
        <f>VLOOKUP(C19,'Sales Master'!$B$3:$T3011,19,0)</f>
        <v>13</v>
      </c>
      <c r="L19" s="64">
        <f t="shared" ref="L19:L25" si="0">K19*G19</f>
        <v>26</v>
      </c>
    </row>
    <row r="20" spans="2:12" ht="20.149999999999999" customHeight="1" x14ac:dyDescent="0.45">
      <c r="B20" s="29"/>
      <c r="C20" s="212" t="s">
        <v>853</v>
      </c>
      <c r="D20" s="493" t="str">
        <f>VLOOKUP(C20,'Sales Master'!B$3:D$537,2,)</f>
        <v>Small Sago 小丸</v>
      </c>
      <c r="E20" s="493"/>
      <c r="F20" s="493"/>
      <c r="G20" s="17">
        <v>1</v>
      </c>
      <c r="H20" s="186" t="str">
        <f>VLOOKUP(C20,'Sales Master'!$B$3:$F$2420,5,0)</f>
        <v>5 KG</v>
      </c>
      <c r="I20" s="484" t="str">
        <f>VLOOKUP(C20,'Sales Master'!$B$3:$E$2420,4,0)</f>
        <v>-</v>
      </c>
      <c r="J20" s="484"/>
      <c r="K20" s="30">
        <f>VLOOKUP(C20,'Sales Master'!$B$3:$T3013,19,0)</f>
        <v>10</v>
      </c>
      <c r="L20" s="64">
        <f>K20*G20</f>
        <v>10</v>
      </c>
    </row>
    <row r="21" spans="2:12" ht="20.149999999999999" customHeight="1" x14ac:dyDescent="0.45">
      <c r="B21" s="29"/>
      <c r="C21" s="212" t="s">
        <v>862</v>
      </c>
      <c r="D21" s="493" t="str">
        <f>VLOOKUP(C21,'Sales Master'!B$3:D$537,2,)</f>
        <v>Fungus黄 木耳朵</v>
      </c>
      <c r="E21" s="493"/>
      <c r="F21" s="493"/>
      <c r="G21" s="17">
        <v>2</v>
      </c>
      <c r="H21" s="186" t="str">
        <f>VLOOKUP(C21,'Sales Master'!$B$3:$F$2420,5,0)</f>
        <v>1 kg</v>
      </c>
      <c r="I21" s="484" t="str">
        <f>VLOOKUP(C21,'Sales Master'!$B$3:$E$2420,4,0)</f>
        <v>黄</v>
      </c>
      <c r="J21" s="484"/>
      <c r="K21" s="30">
        <f>VLOOKUP(C21,'Sales Master'!$B$3:$T3017,19,0)</f>
        <v>16</v>
      </c>
      <c r="L21" s="64">
        <f>K21*G21</f>
        <v>32</v>
      </c>
    </row>
    <row r="22" spans="2:12" ht="20.149999999999999" customHeight="1" x14ac:dyDescent="0.45">
      <c r="B22" s="29"/>
      <c r="C22" s="212" t="s">
        <v>937</v>
      </c>
      <c r="D22" s="493" t="str">
        <f>VLOOKUP(C22,'Sales Master'!B$3:D$537,2,)</f>
        <v>Lychee in Syrup 荔枝</v>
      </c>
      <c r="E22" s="493"/>
      <c r="F22" s="493"/>
      <c r="G22" s="17">
        <v>1</v>
      </c>
      <c r="H22" s="186" t="str">
        <f>VLOOKUP(C22,'Sales Master'!$B$3:$F$2420,5,0)</f>
        <v>12 CAN/CARTON</v>
      </c>
      <c r="I22" s="484" t="str">
        <f>VLOOKUP(C22,'Sales Master'!$B$3:$E$2420,4,0)</f>
        <v>Statue</v>
      </c>
      <c r="J22" s="484"/>
      <c r="K22" s="30">
        <f>VLOOKUP(C22,'Sales Master'!$B$3:$T3016,19,0)</f>
        <v>22</v>
      </c>
      <c r="L22" s="64">
        <f t="shared" ref="L22" si="1">K22*G22</f>
        <v>22</v>
      </c>
    </row>
    <row r="23" spans="2:12" ht="20.149999999999999" customHeight="1" x14ac:dyDescent="0.45">
      <c r="B23" s="29"/>
      <c r="C23" s="212" t="s">
        <v>966</v>
      </c>
      <c r="D23" s="493" t="str">
        <f>VLOOKUP(C23,'Sales Master'!B$3:D$537,2,)</f>
        <v>Coconut Milk 椰浆</v>
      </c>
      <c r="E23" s="493"/>
      <c r="F23" s="493"/>
      <c r="G23" s="17">
        <v>2</v>
      </c>
      <c r="H23" s="186" t="str">
        <f>VLOOKUP(C23,'Sales Master'!$B$3:$F$2420,5,0)</f>
        <v>(1L x 12bag)/箱</v>
      </c>
      <c r="I23" s="484" t="str">
        <f>VLOOKUP(C23,'Sales Master'!$B$3:$E$2420,4,0)</f>
        <v>Kara UHT</v>
      </c>
      <c r="J23" s="484"/>
      <c r="K23" s="30">
        <f>VLOOKUP(C23,'Sales Master'!$B$3:$T3015,19,0)</f>
        <v>54</v>
      </c>
      <c r="L23" s="64">
        <f>K23*G23</f>
        <v>108</v>
      </c>
    </row>
    <row r="24" spans="2:12" ht="20.149999999999999" customHeight="1" x14ac:dyDescent="0.45">
      <c r="B24" s="29"/>
      <c r="C24" s="212" t="s">
        <v>987</v>
      </c>
      <c r="D24" s="493" t="str">
        <f>VLOOKUP(C24,'Sales Master'!B$3:D$537,2,)</f>
        <v>Brown Sugar 黑糖</v>
      </c>
      <c r="E24" s="493"/>
      <c r="F24" s="493"/>
      <c r="G24" s="17">
        <v>1</v>
      </c>
      <c r="H24" s="186" t="str">
        <f>VLOOKUP(C24,'Sales Master'!$B$3:$F$2420,5,0)</f>
        <v>6 KG</v>
      </c>
      <c r="I24" s="484" t="str">
        <f>VLOOKUP(C24,'Sales Master'!$B$3:$E$2420,4,0)</f>
        <v>Star</v>
      </c>
      <c r="J24" s="484"/>
      <c r="K24" s="30">
        <f>VLOOKUP(C24,'Sales Master'!$B$3:$T3014,19,0)</f>
        <v>15</v>
      </c>
      <c r="L24" s="64">
        <f t="shared" ref="L24" si="2">K24*G24</f>
        <v>15</v>
      </c>
    </row>
    <row r="25" spans="2:12" ht="20.149999999999999" customHeight="1" x14ac:dyDescent="0.45">
      <c r="B25" s="29"/>
      <c r="C25" s="212" t="s">
        <v>1009</v>
      </c>
      <c r="D25" s="493" t="str">
        <f>VLOOKUP(C25,'Sales Master'!B$3:D$537,2,)</f>
        <v>Pandan Leaf 班兰叶</v>
      </c>
      <c r="E25" s="493"/>
      <c r="F25" s="493"/>
      <c r="G25" s="17">
        <v>1</v>
      </c>
      <c r="H25" s="186" t="str">
        <f>VLOOKUP(C25,'Sales Master'!$B$3:$F$2420,5,0)</f>
        <v>1 KG</v>
      </c>
      <c r="I25" s="484" t="str">
        <f>VLOOKUP(C25,'Sales Master'!$B$3:$E$2420,4,0)</f>
        <v>-</v>
      </c>
      <c r="J25" s="484"/>
      <c r="K25" s="30">
        <f>VLOOKUP(C25,'Sales Master'!$B$3:$T3012,19,0)</f>
        <v>1.8</v>
      </c>
      <c r="L25" s="64">
        <f t="shared" si="0"/>
        <v>1.8</v>
      </c>
    </row>
    <row r="26" spans="2:12" ht="20.149999999999999" customHeight="1" x14ac:dyDescent="0.45">
      <c r="B26" s="29"/>
      <c r="C26" s="212"/>
      <c r="D26" s="493"/>
      <c r="E26" s="493"/>
      <c r="F26" s="493"/>
      <c r="G26" s="17"/>
      <c r="H26" s="186"/>
      <c r="I26" s="484"/>
      <c r="J26" s="484"/>
      <c r="K26" s="30"/>
      <c r="L26" s="64"/>
    </row>
    <row r="27" spans="2:12" ht="20.149999999999999" customHeight="1" x14ac:dyDescent="0.45">
      <c r="B27" s="29"/>
      <c r="C27" s="212"/>
      <c r="D27" s="493"/>
      <c r="E27" s="493"/>
      <c r="F27" s="493"/>
      <c r="G27" s="17"/>
      <c r="H27" s="186"/>
      <c r="I27" s="484"/>
      <c r="J27" s="484"/>
      <c r="K27" s="30"/>
      <c r="L27" s="64"/>
    </row>
    <row r="28" spans="2:12" ht="20.149999999999999" customHeight="1" x14ac:dyDescent="0.45">
      <c r="B28" s="29"/>
      <c r="C28" s="212"/>
      <c r="D28" s="493"/>
      <c r="E28" s="493"/>
      <c r="F28" s="493"/>
      <c r="G28" s="17"/>
      <c r="H28" s="186"/>
      <c r="I28" s="484"/>
      <c r="J28" s="484"/>
      <c r="K28" s="30"/>
      <c r="L28" s="64"/>
    </row>
    <row r="29" spans="2:12" ht="20.149999999999999" customHeight="1" x14ac:dyDescent="0.45">
      <c r="B29" s="29"/>
      <c r="C29" s="212"/>
      <c r="D29" s="147"/>
      <c r="E29" s="147"/>
      <c r="F29" s="147"/>
      <c r="G29" s="17"/>
      <c r="H29" s="186"/>
      <c r="I29" s="208"/>
      <c r="J29" s="208"/>
      <c r="K29" s="30"/>
      <c r="L29" s="64"/>
    </row>
    <row r="30" spans="2:12" ht="20.149999999999999" customHeight="1" x14ac:dyDescent="0.45">
      <c r="B30" s="29"/>
      <c r="C30" s="212"/>
      <c r="D30" s="493"/>
      <c r="E30" s="493"/>
      <c r="F30" s="493"/>
      <c r="G30" s="17"/>
      <c r="H30" s="186"/>
      <c r="I30" s="484"/>
      <c r="J30" s="484"/>
      <c r="K30" s="30"/>
      <c r="L30" s="64"/>
    </row>
    <row r="31" spans="2:12" ht="20.149999999999999" customHeight="1" thickBot="1" x14ac:dyDescent="0.5">
      <c r="B31" s="32"/>
      <c r="C31" s="33"/>
      <c r="D31" s="488"/>
      <c r="E31" s="488"/>
      <c r="F31" s="488"/>
      <c r="G31" s="33"/>
      <c r="H31" s="33"/>
      <c r="I31" s="33"/>
      <c r="J31" s="33"/>
      <c r="K31" s="34"/>
      <c r="L31" s="35"/>
    </row>
    <row r="32" spans="2:12" ht="20.149999999999999" customHeight="1" thickBot="1" x14ac:dyDescent="0.5">
      <c r="B32" s="36"/>
      <c r="L32" s="37"/>
    </row>
    <row r="33" spans="2:12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89" t="s">
        <v>13</v>
      </c>
      <c r="K33" s="490"/>
      <c r="L33" s="38">
        <f>SUM(L17:L31)</f>
        <v>249.8</v>
      </c>
    </row>
    <row r="34" spans="2:12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2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91" t="s">
        <v>19</v>
      </c>
      <c r="K35" s="492"/>
      <c r="L35" s="41">
        <f>L33-L34</f>
        <v>249.8</v>
      </c>
    </row>
    <row r="36" spans="2:12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22.481999999999999</v>
      </c>
    </row>
    <row r="37" spans="2:12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85" t="s">
        <v>21</v>
      </c>
      <c r="K37" s="486"/>
      <c r="L37" s="43">
        <f>L35+L36</f>
        <v>272.28200000000004</v>
      </c>
    </row>
    <row r="38" spans="2:12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36"/>
      <c r="L42" s="37"/>
    </row>
    <row r="43" spans="2:12" ht="20.149999999999999" customHeight="1" x14ac:dyDescent="0.45">
      <c r="B43" s="44"/>
      <c r="C43" s="45"/>
      <c r="D43" s="45"/>
      <c r="J43" s="45"/>
      <c r="K43" s="45"/>
      <c r="L43" s="46"/>
    </row>
    <row r="44" spans="2:12" ht="20.149999999999999" customHeight="1" x14ac:dyDescent="0.45">
      <c r="B44" s="36" t="s">
        <v>25</v>
      </c>
      <c r="J44" s="19" t="s">
        <v>26</v>
      </c>
      <c r="L44" s="37"/>
    </row>
    <row r="45" spans="2:12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2">
    <mergeCell ref="D27:F27"/>
    <mergeCell ref="I27:J27"/>
    <mergeCell ref="J35:K35"/>
    <mergeCell ref="J37:K37"/>
    <mergeCell ref="D28:F28"/>
    <mergeCell ref="I28:J28"/>
    <mergeCell ref="D30:F30"/>
    <mergeCell ref="I30:J30"/>
    <mergeCell ref="D31:F31"/>
    <mergeCell ref="J33:K33"/>
    <mergeCell ref="D26:F26"/>
    <mergeCell ref="I26:J26"/>
    <mergeCell ref="D20:F20"/>
    <mergeCell ref="I20:J20"/>
    <mergeCell ref="D22:F22"/>
    <mergeCell ref="I22:J22"/>
    <mergeCell ref="D25:F25"/>
    <mergeCell ref="I25:J25"/>
    <mergeCell ref="D24:F24"/>
    <mergeCell ref="I24:J24"/>
    <mergeCell ref="D21:F21"/>
    <mergeCell ref="I21:J21"/>
    <mergeCell ref="D23:F23"/>
    <mergeCell ref="I23:J23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28F75-698B-4175-BD0D-B8BB84F5CDE5}">
  <sheetPr>
    <tabColor rgb="FF7030A0"/>
    <pageSetUpPr fitToPage="1"/>
  </sheetPr>
  <dimension ref="B1:N50"/>
  <sheetViews>
    <sheetView topLeftCell="A17" workbookViewId="0">
      <selection activeCell="H41" sqref="H4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2072</v>
      </c>
      <c r="J10" s="24" t="s">
        <v>27</v>
      </c>
      <c r="K10" s="464">
        <v>202504270</v>
      </c>
      <c r="L10" s="465"/>
    </row>
    <row r="11" spans="2:14" ht="20.149999999999999" customHeight="1" x14ac:dyDescent="0.45">
      <c r="B11" s="466" t="s">
        <v>2119</v>
      </c>
      <c r="C11" s="467"/>
      <c r="D11" s="468"/>
      <c r="E11" s="25"/>
      <c r="F11" s="469" t="str">
        <f>VLOOKUP(H10,'Delivery Location'!A$4:N$466,2,0)</f>
        <v>Hawkers Street BPP-Drinks Stall                       1 Jelebu Rd, Bukit Panjang Plaza,      #03-08 to 09, Singapore 677743  Contact person: Jia Ling 8909 0766</v>
      </c>
      <c r="G11" s="470"/>
      <c r="H11" s="471"/>
      <c r="J11" s="26" t="s">
        <v>9</v>
      </c>
      <c r="K11" s="478">
        <v>45758</v>
      </c>
      <c r="L11" s="479"/>
    </row>
    <row r="12" spans="2:14" ht="20.149999999999999" customHeight="1" x14ac:dyDescent="0.45">
      <c r="B12" s="480" t="s">
        <v>2032</v>
      </c>
      <c r="C12" s="453"/>
      <c r="D12" s="481"/>
      <c r="E12" s="25"/>
      <c r="F12" s="472"/>
      <c r="G12" s="473"/>
      <c r="H12" s="474"/>
      <c r="J12" s="26" t="s">
        <v>127</v>
      </c>
      <c r="K12" s="599" t="s">
        <v>2303</v>
      </c>
      <c r="L12" s="483"/>
    </row>
    <row r="13" spans="2:14" ht="20.149999999999999" customHeight="1" x14ac:dyDescent="0.45">
      <c r="B13" s="594" t="s">
        <v>2033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609</v>
      </c>
      <c r="L13" s="483"/>
    </row>
    <row r="14" spans="2:14" ht="20.149999999999999" customHeight="1" x14ac:dyDescent="0.45">
      <c r="B14" s="480" t="s">
        <v>2034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508"/>
      <c r="C15" s="509"/>
      <c r="D15" s="510"/>
      <c r="E15" s="21"/>
      <c r="F15" s="475"/>
      <c r="G15" s="476"/>
      <c r="H15" s="477"/>
      <c r="J15" s="27" t="s">
        <v>11</v>
      </c>
      <c r="K15" s="119" t="s">
        <v>587</v>
      </c>
      <c r="L15" s="118"/>
    </row>
    <row r="16" spans="2:14" ht="19" thickBot="1" x14ac:dyDescent="0.5">
      <c r="J16" s="17"/>
      <c r="N16" s="93"/>
    </row>
    <row r="17" spans="2:14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93"/>
    </row>
    <row r="18" spans="2:14" x14ac:dyDescent="0.45">
      <c r="B18" s="259" t="s">
        <v>2062</v>
      </c>
      <c r="C18" s="212" t="str">
        <f>VLOOKUP(B18,'Sales Master'!A$3:B$537,2,0)</f>
        <v>M1014</v>
      </c>
      <c r="D18" s="487" t="str">
        <f>VLOOKUP(C18,'Sales Master'!B$3:D$537,2,)</f>
        <v>Chendol 浆咯</v>
      </c>
      <c r="E18" s="487"/>
      <c r="F18" s="487"/>
      <c r="G18" s="76">
        <v>1</v>
      </c>
      <c r="H18" s="209" t="str">
        <f>VLOOKUP(C18,'Sales Master'!$B$3:$F$2420,5,0)</f>
        <v>NW(2.2:0.8) 3kg/ Pkt包</v>
      </c>
      <c r="I18" s="568" t="str">
        <f>VLOOKUP(C18,'Sales Master'!$B$3:$E$2420,4,0)</f>
        <v>DO!</v>
      </c>
      <c r="J18" s="568"/>
      <c r="K18" s="83">
        <f>VLOOKUP(C18,'Sales Master'!B$3:CQ$682,94,0)</f>
        <v>8</v>
      </c>
      <c r="L18" s="84">
        <f t="shared" ref="L18" si="0">K18*G18</f>
        <v>8</v>
      </c>
      <c r="M18" s="65"/>
      <c r="N18" s="93"/>
    </row>
    <row r="19" spans="2:14" ht="20.149999999999999" customHeight="1" x14ac:dyDescent="0.45">
      <c r="B19" s="259" t="s">
        <v>2079</v>
      </c>
      <c r="C19" s="212" t="str">
        <f>VLOOKUP(B19,'Sales Master'!A$3:B$537,2,0)</f>
        <v>P3001B</v>
      </c>
      <c r="D19" s="487" t="str">
        <f>VLOOKUP(C19,'Sales Master'!B$3:D$537,2,)</f>
        <v>Atap Seeds in Syrup 亚嗒子</v>
      </c>
      <c r="E19" s="487"/>
      <c r="F19" s="487"/>
      <c r="G19" s="76">
        <v>1</v>
      </c>
      <c r="H19" s="209" t="str">
        <f>VLOOKUP(C19,'Sales Master'!$B$3:$F$2420,5,0)</f>
        <v>NW(1.6:0.6) 2.2kg/ Bag包</v>
      </c>
      <c r="I19" s="568" t="str">
        <f>VLOOKUP(C19,'Sales Master'!$B$3:$E$2420,4,0)</f>
        <v>DO!</v>
      </c>
      <c r="J19" s="568"/>
      <c r="K19" s="83">
        <f>VLOOKUP(C19,'Sales Master'!B$3:CQ$682,94,0)</f>
        <v>10.5</v>
      </c>
      <c r="L19" s="84">
        <f>K19*G19</f>
        <v>10.5</v>
      </c>
      <c r="M19" s="65"/>
      <c r="N19" s="93"/>
    </row>
    <row r="20" spans="2:14" ht="20.149999999999999" customHeight="1" x14ac:dyDescent="0.45">
      <c r="B20" s="259" t="s">
        <v>2063</v>
      </c>
      <c r="C20" s="212" t="str">
        <f>VLOOKUP(B20,'Sales Master'!A$3:B$537,2,0)</f>
        <v>P3004A</v>
      </c>
      <c r="D20" s="487" t="str">
        <f>VLOOKUP(C20,'Sales Master'!B$3:D$537,2,)</f>
        <v>GingKo Nut (Peel off) 白果仁</v>
      </c>
      <c r="E20" s="487"/>
      <c r="F20" s="487"/>
      <c r="G20" s="76">
        <v>4</v>
      </c>
      <c r="H20" s="209" t="str">
        <f>VLOOKUP(C20,'Sales Master'!$B$3:$F$2420,5,0)</f>
        <v>1 KG (500 GM X 2)</v>
      </c>
      <c r="I20" s="568" t="str">
        <f>VLOOKUP(C20,'Sales Master'!$B$3:$E$2420,4,0)</f>
        <v>-</v>
      </c>
      <c r="J20" s="568"/>
      <c r="K20" s="83">
        <f>VLOOKUP(C20,'Sales Master'!B$3:CQ$682,94,0)</f>
        <v>4.5</v>
      </c>
      <c r="L20" s="84">
        <f>K20*G20</f>
        <v>18</v>
      </c>
      <c r="M20" s="65"/>
      <c r="N20" s="93"/>
    </row>
    <row r="21" spans="2:14" ht="20.149999999999999" customHeight="1" x14ac:dyDescent="0.45">
      <c r="B21" s="259" t="s">
        <v>2064</v>
      </c>
      <c r="C21" s="212" t="str">
        <f>VLOOKUP(B21,'Sales Master'!A$3:B$537,2,0)</f>
        <v>P3006A</v>
      </c>
      <c r="D21" s="487" t="str">
        <f>VLOOKUP(C21,'Sales Master'!B$3:D$537,2,)</f>
        <v>Small Red Bean 小红豆</v>
      </c>
      <c r="E21" s="487"/>
      <c r="F21" s="487"/>
      <c r="G21" s="76">
        <v>1</v>
      </c>
      <c r="H21" s="209" t="str">
        <f>VLOOKUP(C21,'Sales Master'!$B$3:$F$2420,5,0)</f>
        <v>5 KG</v>
      </c>
      <c r="I21" s="568" t="str">
        <f>VLOOKUP(C21,'Sales Master'!$B$3:$E$2420,4,0)</f>
        <v>-</v>
      </c>
      <c r="J21" s="568"/>
      <c r="K21" s="83">
        <f>VLOOKUP(C21,'Sales Master'!B$3:CQ$682,94,0)</f>
        <v>17.5</v>
      </c>
      <c r="L21" s="84">
        <f t="shared" ref="L21:L24" si="1">K21*G21</f>
        <v>17.5</v>
      </c>
      <c r="M21" s="65"/>
      <c r="N21" s="93"/>
    </row>
    <row r="22" spans="2:14" ht="20.149999999999999" customHeight="1" x14ac:dyDescent="0.45">
      <c r="B22" s="259" t="s">
        <v>2082</v>
      </c>
      <c r="C22" s="212" t="str">
        <f>VLOOKUP(B22,'Sales Master'!A$3:B$537,2,0)</f>
        <v>P3009A</v>
      </c>
      <c r="D22" s="487" t="str">
        <f>VLOOKUP(C22,'Sales Master'!B$3:D$537,2,)</f>
        <v>Green Bean 绿豆</v>
      </c>
      <c r="E22" s="487"/>
      <c r="F22" s="487"/>
      <c r="G22" s="76">
        <v>1</v>
      </c>
      <c r="H22" s="209" t="str">
        <f>VLOOKUP(C22,'Sales Master'!$B$3:$F$2420,5,0)</f>
        <v>5 KG</v>
      </c>
      <c r="I22" s="568" t="str">
        <f>VLOOKUP(C22,'Sales Master'!$B$3:$E$2420,4,0)</f>
        <v>-</v>
      </c>
      <c r="J22" s="568"/>
      <c r="K22" s="83">
        <f>VLOOKUP(C22,'Sales Master'!B$3:CQ$682,94,0)</f>
        <v>13</v>
      </c>
      <c r="L22" s="84">
        <f>K22*G22</f>
        <v>13</v>
      </c>
      <c r="M22" s="65"/>
      <c r="N22" s="93"/>
    </row>
    <row r="23" spans="2:14" ht="20.149999999999999" customHeight="1" x14ac:dyDescent="0.45">
      <c r="B23" s="259" t="s">
        <v>2149</v>
      </c>
      <c r="C23" s="212" t="str">
        <f>VLOOKUP(B23,'Sales Master'!A$3:B$537,2,0)</f>
        <v>P4010</v>
      </c>
      <c r="D23" s="487" t="str">
        <f>VLOOKUP(C23,'Sales Master'!B$3:D$537,2,)</f>
        <v>Lychee in Syrup 荔枝</v>
      </c>
      <c r="E23" s="487"/>
      <c r="F23" s="487"/>
      <c r="G23" s="76">
        <v>1</v>
      </c>
      <c r="H23" s="209" t="str">
        <f>VLOOKUP(C23,'Sales Master'!$B$3:$F$2420,5,0)</f>
        <v>12can/箱</v>
      </c>
      <c r="I23" s="568" t="str">
        <f>VLOOKUP(C23,'Sales Master'!$B$3:$E$2420,4,0)</f>
        <v>MiLi</v>
      </c>
      <c r="J23" s="568"/>
      <c r="K23" s="83">
        <f>VLOOKUP(C23,'Sales Master'!B$3:CQ$682,94,0)</f>
        <v>26</v>
      </c>
      <c r="L23" s="84">
        <f t="shared" si="1"/>
        <v>26</v>
      </c>
      <c r="M23" s="65"/>
      <c r="N23" s="93"/>
    </row>
    <row r="24" spans="2:14" ht="20.149999999999999" customHeight="1" x14ac:dyDescent="0.45">
      <c r="B24" s="259" t="s">
        <v>2070</v>
      </c>
      <c r="C24" s="212" t="str">
        <f>VLOOKUP(B24,'Sales Master'!A$3:B$537,2,0)</f>
        <v>P5002A</v>
      </c>
      <c r="D24" s="487" t="str">
        <f>VLOOKUP(C24,'Sales Master'!B$3:D$537,2,)</f>
        <v>Brown Sugar 黑糖</v>
      </c>
      <c r="E24" s="487"/>
      <c r="F24" s="487"/>
      <c r="G24" s="76">
        <v>1</v>
      </c>
      <c r="H24" s="209" t="str">
        <f>VLOOKUP(C24,'Sales Master'!$B$3:$F$2420,5,0)</f>
        <v>6 KG</v>
      </c>
      <c r="I24" s="568" t="str">
        <f>VLOOKUP(C24,'Sales Master'!$B$3:$E$2420,4,0)</f>
        <v>Star</v>
      </c>
      <c r="J24" s="568"/>
      <c r="K24" s="83">
        <f>VLOOKUP(C24,'Sales Master'!B$3:CQ$682,94,0)</f>
        <v>17.5</v>
      </c>
      <c r="L24" s="84">
        <f t="shared" si="1"/>
        <v>17.5</v>
      </c>
      <c r="M24" s="65"/>
      <c r="N24" s="93"/>
    </row>
    <row r="25" spans="2:14" ht="20.149999999999999" customHeight="1" x14ac:dyDescent="0.45">
      <c r="B25" s="259" t="s">
        <v>2078</v>
      </c>
      <c r="C25" s="212" t="str">
        <f>VLOOKUP(B25,'Sales Master'!A$3:B$537,2,0)</f>
        <v>P5008</v>
      </c>
      <c r="D25" s="487" t="str">
        <f>VLOOKUP(C25,'Sales Master'!B$3:D$537,2,)</f>
        <v>Coconut Sugar 椰糖</v>
      </c>
      <c r="E25" s="487"/>
      <c r="F25" s="487"/>
      <c r="G25" s="76">
        <v>1</v>
      </c>
      <c r="H25" s="209" t="str">
        <f>VLOOKUP(C25,'Sales Master'!$B$3:$F$2420,5,0)</f>
        <v>10 KG/ ctn</v>
      </c>
      <c r="I25" s="568" t="str">
        <f>VLOOKUP(C25,'Sales Master'!$B$3:$E$2420,4,0)</f>
        <v>BL BRAND</v>
      </c>
      <c r="J25" s="568"/>
      <c r="K25" s="83">
        <f>VLOOKUP(C25,'Sales Master'!B$3:CQ$682,94,0)</f>
        <v>37</v>
      </c>
      <c r="L25" s="84">
        <f t="shared" ref="L25" si="2">K25*G25</f>
        <v>37</v>
      </c>
      <c r="M25" s="65"/>
      <c r="N25" s="93"/>
    </row>
    <row r="26" spans="2:14" ht="20.149999999999999" customHeight="1" x14ac:dyDescent="0.45">
      <c r="B26" s="259" t="s">
        <v>2071</v>
      </c>
      <c r="C26" s="212" t="str">
        <f>VLOOKUP(B26,'Sales Master'!A$3:B$537,2,0)</f>
        <v>P6002A</v>
      </c>
      <c r="D26" s="524" t="str">
        <f>VLOOKUP(C26,'Sales Master'!B$3:D$537,2,)</f>
        <v>Skinless Sweet Potato 去皮番薯</v>
      </c>
      <c r="E26" s="524"/>
      <c r="F26" s="524"/>
      <c r="G26" s="76">
        <v>2</v>
      </c>
      <c r="H26" s="209" t="str">
        <f>VLOOKUP(C26,'Sales Master'!$B$3:$F$2420,5,0)</f>
        <v>5 KG</v>
      </c>
      <c r="I26" s="568" t="str">
        <f>VLOOKUP(C26,'Sales Master'!$B$3:$E$2420,4,0)</f>
        <v>Malaysia</v>
      </c>
      <c r="J26" s="568"/>
      <c r="K26" s="83">
        <f>VLOOKUP(C26,'Sales Master'!B$3:CQ$682,94,0)</f>
        <v>17.5</v>
      </c>
      <c r="L26" s="84">
        <f>K26*G26</f>
        <v>35</v>
      </c>
      <c r="M26" s="65"/>
      <c r="N26" s="93"/>
    </row>
    <row r="27" spans="2:14" ht="20.149999999999999" customHeight="1" x14ac:dyDescent="0.45">
      <c r="B27" s="259" t="s">
        <v>2076</v>
      </c>
      <c r="C27" s="212" t="str">
        <f>VLOOKUP(B27,'Sales Master'!A$3:B$537,2,0)</f>
        <v>P6007</v>
      </c>
      <c r="D27" s="487" t="str">
        <f>VLOOKUP(C27,'Sales Master'!B$3:D$537,2,)</f>
        <v>Pandan Leaf 班兰叶</v>
      </c>
      <c r="E27" s="487"/>
      <c r="F27" s="487"/>
      <c r="G27" s="76">
        <v>2</v>
      </c>
      <c r="H27" s="209" t="str">
        <f>VLOOKUP(C27,'Sales Master'!$B$3:$F$2420,5,0)</f>
        <v>1 KG</v>
      </c>
      <c r="I27" s="568" t="str">
        <f>VLOOKUP(C27,'Sales Master'!$B$3:$E$2420,4,0)</f>
        <v>-</v>
      </c>
      <c r="J27" s="568"/>
      <c r="K27" s="83">
        <f>VLOOKUP(C27,'Sales Master'!B$3:CQ$682,94,0)</f>
        <v>2</v>
      </c>
      <c r="L27" s="84">
        <f t="shared" ref="L27" si="3">K27*G27</f>
        <v>4</v>
      </c>
      <c r="M27" s="65"/>
      <c r="N27" s="93"/>
    </row>
    <row r="28" spans="2:14" ht="20.149999999999999" customHeight="1" x14ac:dyDescent="0.45">
      <c r="B28" s="259" t="s">
        <v>2077</v>
      </c>
      <c r="C28" s="212" t="str">
        <f>VLOOKUP(B28,'Sales Master'!A$3:B$537,2,0)</f>
        <v>P6008</v>
      </c>
      <c r="D28" s="487" t="str">
        <f>VLOOKUP(C28,'Sales Master'!B$3:D$537,2,)</f>
        <v>Lime 酸甘</v>
      </c>
      <c r="E28" s="487"/>
      <c r="F28" s="487"/>
      <c r="G28" s="76">
        <v>3</v>
      </c>
      <c r="H28" s="209" t="str">
        <f>VLOOKUP(C28,'Sales Master'!$B$3:$F$2420,5,0)</f>
        <v>1 KG</v>
      </c>
      <c r="I28" s="568" t="str">
        <f>VLOOKUP(C28,'Sales Master'!$B$3:$E$2420,4,0)</f>
        <v>-</v>
      </c>
      <c r="J28" s="568"/>
      <c r="K28" s="83">
        <f>VLOOKUP(C28,'Sales Master'!B$3:CQ$682,94,0)</f>
        <v>3</v>
      </c>
      <c r="L28" s="84">
        <f>K28*G28</f>
        <v>9</v>
      </c>
      <c r="M28" s="65"/>
      <c r="N28" s="93"/>
    </row>
    <row r="29" spans="2:14" ht="20.149999999999999" customHeight="1" x14ac:dyDescent="0.45">
      <c r="B29" s="259" t="s">
        <v>2080</v>
      </c>
      <c r="C29" s="212" t="str">
        <f>VLOOKUP(B29,'Sales Master'!A$3:B$537,2,0)</f>
        <v>P6011</v>
      </c>
      <c r="D29" s="487" t="str">
        <f>VLOOKUP(C29,'Sales Master'!B$3:D$537,2,)</f>
        <v>Ginger 老姜</v>
      </c>
      <c r="E29" s="487"/>
      <c r="F29" s="487"/>
      <c r="G29" s="76">
        <v>1</v>
      </c>
      <c r="H29" s="209" t="str">
        <f>VLOOKUP(C29,'Sales Master'!$B$3:$F$2420,5,0)</f>
        <v>1 KG</v>
      </c>
      <c r="I29" s="568" t="str">
        <f>VLOOKUP(C29,'Sales Master'!$B$3:$E$2420,4,0)</f>
        <v>-</v>
      </c>
      <c r="J29" s="568"/>
      <c r="K29" s="83">
        <f>VLOOKUP(C29,'Sales Master'!B$3:CQ$682,94,0)</f>
        <v>5</v>
      </c>
      <c r="L29" s="84">
        <f>K29*G29</f>
        <v>5</v>
      </c>
      <c r="M29" s="65"/>
      <c r="N29" s="93"/>
    </row>
    <row r="30" spans="2:14" ht="20.149999999999999" customHeight="1" x14ac:dyDescent="0.45">
      <c r="B30" s="259" t="s">
        <v>2086</v>
      </c>
      <c r="C30" s="212" t="str">
        <f>VLOOKUP(B30,'Sales Master'!A$3:B$537,2,0)</f>
        <v>P6016</v>
      </c>
      <c r="D30" s="487" t="str">
        <f>VLOOKUP(C30,'Sales Master'!B$3:D$537,2,)</f>
        <v>Yellow Lemon 柠檬</v>
      </c>
      <c r="E30" s="487"/>
      <c r="F30" s="487"/>
      <c r="G30" s="76">
        <v>5</v>
      </c>
      <c r="H30" s="209" t="str">
        <f>VLOOKUP(C30,'Sales Master'!$B$3:$F$2420,5,0)</f>
        <v>1 KG</v>
      </c>
      <c r="I30" s="568" t="str">
        <f>VLOOKUP(C30,'Sales Master'!$B$3:$E$2420,4,0)</f>
        <v>-</v>
      </c>
      <c r="J30" s="568"/>
      <c r="K30" s="83">
        <f>VLOOKUP(C30,'Sales Master'!B$3:CQ$682,94,0)</f>
        <v>3.8</v>
      </c>
      <c r="L30" s="84">
        <f>K30*G30</f>
        <v>19</v>
      </c>
      <c r="M30" s="65"/>
      <c r="N30" s="93"/>
    </row>
    <row r="31" spans="2:14" ht="20.149999999999999" customHeight="1" x14ac:dyDescent="0.45">
      <c r="B31" s="259" t="s">
        <v>2110</v>
      </c>
      <c r="C31" s="212" t="str">
        <f>VLOOKUP(B31,'Sales Master'!A$3:B$537,2,0)</f>
        <v>P6019</v>
      </c>
      <c r="D31" s="487" t="str">
        <f>VLOOKUP(C31,'Sales Master'!B$3:D$537,2,)</f>
        <v>Lemongrass 香茅</v>
      </c>
      <c r="E31" s="487"/>
      <c r="F31" s="487"/>
      <c r="G31" s="76">
        <v>1.5</v>
      </c>
      <c r="H31" s="209" t="str">
        <f>VLOOKUP(C31,'Sales Master'!$B$3:$F$2420,5,0)</f>
        <v>1KG</v>
      </c>
      <c r="I31" s="568" t="str">
        <f>VLOOKUP(C31,'Sales Master'!$B$3:$E$2420,4,0)</f>
        <v>-</v>
      </c>
      <c r="J31" s="568"/>
      <c r="K31" s="83">
        <f>VLOOKUP(C31,'Sales Master'!B$3:CQ$682,94,0)</f>
        <v>4</v>
      </c>
      <c r="L31" s="84">
        <f>K31*G31</f>
        <v>6</v>
      </c>
      <c r="M31" s="65"/>
      <c r="N31" s="93"/>
    </row>
    <row r="32" spans="2:14" ht="20.149999999999999" customHeight="1" x14ac:dyDescent="0.45">
      <c r="B32" s="259"/>
      <c r="C32" s="212"/>
      <c r="D32" s="487"/>
      <c r="E32" s="487"/>
      <c r="F32" s="487"/>
      <c r="G32" s="76"/>
      <c r="H32" s="209"/>
      <c r="I32" s="568"/>
      <c r="J32" s="568"/>
      <c r="K32" s="83"/>
      <c r="L32" s="84"/>
      <c r="M32" s="65"/>
      <c r="N32" s="93"/>
    </row>
    <row r="33" spans="2:14" x14ac:dyDescent="0.45">
      <c r="B33" s="259"/>
      <c r="C33" s="212"/>
      <c r="D33" s="487"/>
      <c r="E33" s="487"/>
      <c r="F33" s="487"/>
      <c r="G33" s="76"/>
      <c r="H33" s="209"/>
      <c r="I33" s="568"/>
      <c r="J33" s="568"/>
      <c r="K33" s="83"/>
      <c r="L33" s="84"/>
      <c r="M33" s="65"/>
      <c r="N33" s="93"/>
    </row>
    <row r="34" spans="2:14" ht="20.149999999999999" customHeight="1" x14ac:dyDescent="0.45">
      <c r="B34" s="259"/>
      <c r="C34" s="212"/>
      <c r="D34" s="487"/>
      <c r="E34" s="487"/>
      <c r="F34" s="487"/>
      <c r="G34" s="76"/>
      <c r="H34" s="209"/>
      <c r="I34" s="568"/>
      <c r="J34" s="568"/>
      <c r="K34" s="83"/>
      <c r="L34" s="84"/>
      <c r="M34" s="65"/>
      <c r="N34" s="93"/>
    </row>
    <row r="35" spans="2:14" ht="20.149999999999999" customHeight="1" x14ac:dyDescent="0.45">
      <c r="B35" s="58"/>
      <c r="C35" s="212"/>
      <c r="D35" s="487"/>
      <c r="E35" s="487"/>
      <c r="F35" s="487"/>
      <c r="G35" s="76"/>
      <c r="H35" s="209"/>
      <c r="I35" s="568"/>
      <c r="J35" s="568"/>
      <c r="K35" s="83"/>
      <c r="L35" s="84"/>
      <c r="M35" s="65"/>
      <c r="N35" s="93"/>
    </row>
    <row r="36" spans="2:14" ht="20.149999999999999" customHeight="1" x14ac:dyDescent="0.45">
      <c r="B36" s="58"/>
      <c r="C36" s="212"/>
      <c r="G36" s="76"/>
      <c r="H36" s="209"/>
      <c r="I36" s="183"/>
      <c r="J36" s="183"/>
      <c r="K36" s="83"/>
      <c r="L36" s="84"/>
      <c r="M36" s="65"/>
      <c r="N36" s="93"/>
    </row>
    <row r="37" spans="2:14" ht="20.149999999999999" customHeight="1" thickBot="1" x14ac:dyDescent="0.5">
      <c r="B37" s="47"/>
      <c r="C37" s="48"/>
      <c r="D37" s="48"/>
      <c r="E37" s="48"/>
      <c r="F37" s="48"/>
      <c r="G37" s="48"/>
      <c r="H37" s="48"/>
      <c r="I37" s="48"/>
      <c r="J37" s="48"/>
      <c r="K37" s="48"/>
      <c r="L37" s="49"/>
      <c r="N37" s="93"/>
    </row>
    <row r="38" spans="2:14" ht="20.149999999999999" customHeight="1" x14ac:dyDescent="0.45">
      <c r="B38" s="10" t="s">
        <v>16</v>
      </c>
      <c r="C38" s="6"/>
      <c r="D38" s="6"/>
      <c r="E38" s="6"/>
      <c r="F38" s="6"/>
      <c r="G38" s="6"/>
      <c r="H38" s="6"/>
      <c r="I38" s="6"/>
      <c r="J38" s="489" t="s">
        <v>13</v>
      </c>
      <c r="K38" s="490"/>
      <c r="L38" s="38">
        <f>SUM(L18:L37)</f>
        <v>225.5</v>
      </c>
      <c r="M38" s="63">
        <f>SUM(P18:P37)</f>
        <v>0</v>
      </c>
      <c r="N38" s="93"/>
    </row>
    <row r="39" spans="2:14" ht="20.149999999999999" customHeight="1" x14ac:dyDescent="0.45">
      <c r="B39" s="10" t="s">
        <v>17</v>
      </c>
      <c r="C39" s="6"/>
      <c r="D39" s="6"/>
      <c r="E39" s="6"/>
      <c r="F39" s="6"/>
      <c r="G39" s="6"/>
      <c r="H39" s="6"/>
      <c r="I39" s="6"/>
      <c r="J39" s="39" t="s">
        <v>20</v>
      </c>
      <c r="K39" s="40"/>
      <c r="L39" s="41">
        <v>0</v>
      </c>
      <c r="N39" s="93"/>
    </row>
    <row r="40" spans="2:14" ht="20.149999999999999" customHeight="1" x14ac:dyDescent="0.45">
      <c r="B40" s="10" t="s">
        <v>18</v>
      </c>
      <c r="C40" s="6"/>
      <c r="D40" s="6"/>
      <c r="E40" s="6"/>
      <c r="F40" s="6"/>
      <c r="G40" s="6"/>
      <c r="H40" s="6"/>
      <c r="I40" s="6"/>
      <c r="J40" s="491" t="s">
        <v>19</v>
      </c>
      <c r="K40" s="492"/>
      <c r="L40" s="41">
        <f>L38-L39</f>
        <v>225.5</v>
      </c>
      <c r="N40" s="93"/>
    </row>
    <row r="41" spans="2:14" ht="20.149999999999999" customHeight="1" x14ac:dyDescent="0.45">
      <c r="B41" s="10" t="s">
        <v>22</v>
      </c>
      <c r="C41" s="6"/>
      <c r="D41" s="6"/>
      <c r="E41" s="6"/>
      <c r="F41" s="6"/>
      <c r="G41" s="6"/>
      <c r="H41" s="6"/>
      <c r="I41" s="6"/>
      <c r="J41" s="102" t="s">
        <v>15</v>
      </c>
      <c r="K41" s="103">
        <f>'Sales Master'!$B$1</f>
        <v>0.09</v>
      </c>
      <c r="L41" s="42">
        <f>L40*K41</f>
        <v>20.294999999999998</v>
      </c>
    </row>
    <row r="42" spans="2:14" ht="20.149999999999999" customHeight="1" thickBot="1" x14ac:dyDescent="0.5">
      <c r="B42" s="10" t="s">
        <v>676</v>
      </c>
      <c r="C42" s="6"/>
      <c r="D42" s="6"/>
      <c r="E42" s="6"/>
      <c r="F42" s="6"/>
      <c r="G42" s="6"/>
      <c r="H42" s="6"/>
      <c r="I42" s="6"/>
      <c r="J42" s="485" t="s">
        <v>21</v>
      </c>
      <c r="K42" s="486"/>
      <c r="L42" s="43">
        <f>L40+L41</f>
        <v>245.79499999999999</v>
      </c>
    </row>
    <row r="43" spans="2:14" ht="20.149999999999999" customHeight="1" x14ac:dyDescent="0.45">
      <c r="B43" s="10" t="s">
        <v>24</v>
      </c>
      <c r="C43" s="6"/>
      <c r="D43" s="6"/>
      <c r="E43" s="6"/>
      <c r="F43" s="6"/>
      <c r="G43" s="6"/>
      <c r="H43" s="6"/>
      <c r="I43" s="6"/>
      <c r="L43" s="37"/>
    </row>
    <row r="44" spans="2:14" ht="20.149999999999999" customHeight="1" x14ac:dyDescent="0.45">
      <c r="B44" s="144" t="s">
        <v>666</v>
      </c>
      <c r="L44" s="37"/>
    </row>
    <row r="45" spans="2:14" ht="20.149999999999999" customHeight="1" x14ac:dyDescent="0.45">
      <c r="B45" s="36"/>
      <c r="L45" s="37"/>
    </row>
    <row r="46" spans="2:14" ht="20.149999999999999" customHeight="1" x14ac:dyDescent="0.45">
      <c r="B46" s="36"/>
      <c r="L46" s="37"/>
    </row>
    <row r="47" spans="2:14" ht="20.149999999999999" customHeight="1" x14ac:dyDescent="0.45">
      <c r="B47" s="36"/>
      <c r="L47" s="37"/>
    </row>
    <row r="48" spans="2:14" ht="20.149999999999999" customHeight="1" x14ac:dyDescent="0.45">
      <c r="B48" s="44"/>
      <c r="C48" s="45"/>
      <c r="D48" s="45"/>
      <c r="J48" s="45"/>
      <c r="K48" s="45"/>
      <c r="L48" s="46"/>
    </row>
    <row r="49" spans="2:12" ht="20.149999999999999" customHeight="1" x14ac:dyDescent="0.45">
      <c r="B49" s="36" t="s">
        <v>25</v>
      </c>
      <c r="J49" s="19" t="s">
        <v>26</v>
      </c>
      <c r="L49" s="37"/>
    </row>
    <row r="50" spans="2:12" ht="19" thickBot="1" x14ac:dyDescent="0.5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9"/>
    </row>
  </sheetData>
  <mergeCells count="53">
    <mergeCell ref="I20:J20"/>
    <mergeCell ref="I25:J25"/>
    <mergeCell ref="D22:F22"/>
    <mergeCell ref="D21:F21"/>
    <mergeCell ref="D17:F17"/>
    <mergeCell ref="I17:J17"/>
    <mergeCell ref="D18:F18"/>
    <mergeCell ref="I18:J18"/>
    <mergeCell ref="D23:F23"/>
    <mergeCell ref="I22:J22"/>
    <mergeCell ref="D19:F19"/>
    <mergeCell ref="I19:J19"/>
    <mergeCell ref="D20:F20"/>
    <mergeCell ref="I29:J29"/>
    <mergeCell ref="D28:F28"/>
    <mergeCell ref="I26:J26"/>
    <mergeCell ref="I21:J21"/>
    <mergeCell ref="I23:J23"/>
    <mergeCell ref="D26:F26"/>
    <mergeCell ref="D25:F2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J42:K42"/>
    <mergeCell ref="D35:F35"/>
    <mergeCell ref="I35:J35"/>
    <mergeCell ref="J38:K38"/>
    <mergeCell ref="J40:K40"/>
    <mergeCell ref="I34:J34"/>
    <mergeCell ref="I24:J24"/>
    <mergeCell ref="D24:F24"/>
    <mergeCell ref="D34:F34"/>
    <mergeCell ref="D29:F29"/>
    <mergeCell ref="D33:F33"/>
    <mergeCell ref="I33:J33"/>
    <mergeCell ref="D30:F30"/>
    <mergeCell ref="I30:J30"/>
    <mergeCell ref="I27:J27"/>
    <mergeCell ref="D32:F32"/>
    <mergeCell ref="I32:J32"/>
    <mergeCell ref="D27:F27"/>
    <mergeCell ref="D31:F31"/>
    <mergeCell ref="I28:J28"/>
    <mergeCell ref="I31:J31"/>
  </mergeCells>
  <pageMargins left="0.98425196850393704" right="0.23622047244094491" top="0" bottom="0" header="0" footer="0"/>
  <pageSetup paperSize="9" scale="72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CCD1F-D8E4-440D-A150-665283AC0C45}">
  <sheetPr codeName="Sheet113">
    <tabColor rgb="FFFFC000"/>
    <pageSetUpPr fitToPage="1"/>
  </sheetPr>
  <dimension ref="B1:R41"/>
  <sheetViews>
    <sheetView topLeftCell="C21" zoomScaleNormal="100" workbookViewId="0">
      <selection activeCell="J24" sqref="J2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7.3632812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112</v>
      </c>
      <c r="J10" s="24" t="s">
        <v>27</v>
      </c>
      <c r="K10" s="464">
        <v>202501253</v>
      </c>
      <c r="L10" s="465"/>
    </row>
    <row r="11" spans="2:12" ht="20.149999999999999" customHeight="1" x14ac:dyDescent="0.45">
      <c r="B11" s="466" t="s">
        <v>394</v>
      </c>
      <c r="C11" s="467"/>
      <c r="D11" s="468"/>
      <c r="E11" s="25"/>
      <c r="F11" s="469" t="str">
        <f>VLOOKUP(H10,'Delivery Location'!A$4:N$466,2,0)</f>
        <v>Balestier Market Pte Ltd                       411, Balestier Road.                         Singapore 329930                                       (Drink Stall)</v>
      </c>
      <c r="G11" s="470"/>
      <c r="H11" s="471"/>
      <c r="J11" s="26" t="s">
        <v>9</v>
      </c>
      <c r="K11" s="478">
        <v>45668</v>
      </c>
      <c r="L11" s="479"/>
    </row>
    <row r="12" spans="2:12" ht="20.149999999999999" customHeight="1" x14ac:dyDescent="0.45">
      <c r="B12" s="480" t="s">
        <v>365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366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0"/>
      <c r="C15" s="51"/>
      <c r="D15" s="52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8" ht="20.149999999999999" customHeight="1" x14ac:dyDescent="0.45">
      <c r="B18" s="29"/>
      <c r="C18" s="212" t="s">
        <v>948</v>
      </c>
      <c r="D18" s="487" t="str">
        <f>VLOOKUP(C18,'Sales Master'!B$3:D$537,2,)</f>
        <v>Evaporated Creamer 淡奶水</v>
      </c>
      <c r="E18" s="487"/>
      <c r="F18" s="487"/>
      <c r="G18" s="17">
        <v>1</v>
      </c>
      <c r="H18" s="186" t="str">
        <f>VLOOKUP(C18,'Sales Master'!$B$3:$F$2488,5,0)</f>
        <v>385 GM x 48/ Ctn箱</v>
      </c>
      <c r="I18" s="523" t="str">
        <f>VLOOKUP(C18,'Sales Master'!$B$3:$E$2488,4,0)</f>
        <v>Marigold</v>
      </c>
      <c r="J18" s="523"/>
      <c r="K18" s="80">
        <f>VLOOKUP(C18,'Sales Master'!B$3:P$537,15,0)</f>
        <v>58</v>
      </c>
      <c r="L18" s="64">
        <f>K18*G18</f>
        <v>58</v>
      </c>
      <c r="M18" s="65"/>
      <c r="N18" s="145">
        <f>VLOOKUP(C18,'Sales Master'!$B$3:$DA$2279,104,0)</f>
        <v>55.045000000000002</v>
      </c>
      <c r="O18" s="145">
        <f>K18-N18</f>
        <v>2.9549999999999983</v>
      </c>
      <c r="P18" s="145">
        <f>O18*G18</f>
        <v>2.9549999999999983</v>
      </c>
      <c r="R18" s="63">
        <f>G18*N18*0.07</f>
        <v>3.8531500000000003</v>
      </c>
    </row>
    <row r="19" spans="2:18" ht="20.149999999999999" customHeight="1" x14ac:dyDescent="0.45">
      <c r="B19" s="29"/>
      <c r="C19" s="212" t="s">
        <v>951</v>
      </c>
      <c r="D19" s="487" t="str">
        <f>VLOOKUP(C19,'Sales Master'!B$3:D$537,2,)</f>
        <v>Sweetened Creamer 练奶</v>
      </c>
      <c r="E19" s="487"/>
      <c r="F19" s="487"/>
      <c r="G19" s="17">
        <v>3</v>
      </c>
      <c r="H19" s="186" t="str">
        <f>VLOOKUP(C19,'Sales Master'!$B$3:$F$2488,5,0)</f>
        <v>380 GM x 48/ Ctn箱</v>
      </c>
      <c r="I19" s="484" t="str">
        <f>VLOOKUP(C19,'Sales Master'!$B$3:$E$2488,4,0)</f>
        <v>Dawn牛</v>
      </c>
      <c r="J19" s="484"/>
      <c r="K19" s="80">
        <f>VLOOKUP(C19,'Sales Master'!B$3:P$537,15,0)</f>
        <v>48</v>
      </c>
      <c r="L19" s="64">
        <f>K19*G19</f>
        <v>144</v>
      </c>
      <c r="M19" s="65"/>
      <c r="N19" s="145">
        <f>VLOOKUP(C19,'Sales Master'!$B$3:$DA$2279,104,0)</f>
        <v>46.325000000000003</v>
      </c>
      <c r="O19" s="145">
        <f>K19-N19</f>
        <v>1.6749999999999972</v>
      </c>
      <c r="P19" s="145">
        <f>O19*G19</f>
        <v>5.0249999999999915</v>
      </c>
      <c r="R19" s="63"/>
    </row>
    <row r="20" spans="2:18" ht="20.149999999999999" customHeight="1" x14ac:dyDescent="0.45">
      <c r="B20" s="185"/>
      <c r="C20" s="212" t="s">
        <v>990</v>
      </c>
      <c r="D20" s="487" t="str">
        <f>VLOOKUP(C20,'Sales Master'!B$3:D$537,2,)</f>
        <v>Fine Sugar 白糖</v>
      </c>
      <c r="E20" s="487"/>
      <c r="F20" s="487"/>
      <c r="G20" s="17">
        <v>1</v>
      </c>
      <c r="H20" s="186" t="str">
        <f>VLOOKUP(C20,'Sales Master'!$B$3:$F$2488,5,0)</f>
        <v>25 KGS</v>
      </c>
      <c r="I20" s="484" t="str">
        <f>VLOOKUP(C20,'Sales Master'!$B$3:$E$2488,4,0)</f>
        <v>MITR PHOL/ 蜜朋</v>
      </c>
      <c r="J20" s="484"/>
      <c r="K20" s="80">
        <f>VLOOKUP(C20,'Sales Master'!B$3:P$537,15,0)</f>
        <v>31.5</v>
      </c>
      <c r="L20" s="64">
        <f>K20*G20</f>
        <v>31.5</v>
      </c>
      <c r="M20" s="65"/>
      <c r="N20" s="145">
        <f>VLOOKUP(C20,'Sales Master'!$B$3:$DA$2279,104,0)</f>
        <v>24.5</v>
      </c>
      <c r="O20" s="145">
        <f>K20-N20</f>
        <v>7</v>
      </c>
      <c r="P20" s="145">
        <f>O20*G20</f>
        <v>7</v>
      </c>
    </row>
    <row r="21" spans="2:18" ht="20.149999999999999" customHeight="1" x14ac:dyDescent="0.45">
      <c r="B21" s="185"/>
      <c r="C21" s="17"/>
      <c r="G21" s="17"/>
      <c r="H21" s="186"/>
      <c r="I21" s="208"/>
      <c r="J21" s="208"/>
      <c r="K21" s="80"/>
      <c r="L21" s="64"/>
      <c r="M21" s="65"/>
      <c r="N21" s="145"/>
      <c r="O21" s="145"/>
      <c r="P21" s="145"/>
    </row>
    <row r="22" spans="2:18" ht="20.149999999999999" customHeight="1" x14ac:dyDescent="0.45">
      <c r="B22" s="185"/>
      <c r="C22" s="17"/>
      <c r="G22" s="17"/>
      <c r="H22" s="186"/>
      <c r="I22" s="208"/>
      <c r="J22" s="208"/>
      <c r="K22" s="80"/>
      <c r="L22" s="64"/>
      <c r="M22" s="65"/>
      <c r="N22" s="145"/>
      <c r="O22" s="145"/>
      <c r="P22" s="145"/>
    </row>
    <row r="23" spans="2:18" ht="20.149999999999999" customHeight="1" x14ac:dyDescent="0.45">
      <c r="B23" s="29"/>
      <c r="C23" s="153"/>
      <c r="G23" s="76"/>
      <c r="H23" s="211"/>
      <c r="I23" s="513"/>
      <c r="J23" s="513"/>
      <c r="K23" s="83"/>
      <c r="L23" s="64"/>
      <c r="M23" s="65"/>
      <c r="N23" s="145"/>
      <c r="O23" s="145"/>
      <c r="P23" s="145"/>
    </row>
    <row r="24" spans="2:18" ht="20.149999999999999" customHeight="1" x14ac:dyDescent="0.45">
      <c r="B24" s="29"/>
      <c r="C24" s="153"/>
      <c r="G24" s="76"/>
      <c r="H24" s="56"/>
      <c r="I24" s="56"/>
      <c r="J24" s="56"/>
      <c r="K24" s="150"/>
      <c r="L24" s="64"/>
      <c r="M24" s="65"/>
      <c r="N24" s="145"/>
      <c r="O24" s="145"/>
      <c r="P24" s="145"/>
    </row>
    <row r="25" spans="2:18" ht="20.149999999999999" customHeight="1" x14ac:dyDescent="0.45">
      <c r="B25" s="29"/>
      <c r="C25" s="17"/>
      <c r="G25" s="17"/>
      <c r="H25" s="186"/>
      <c r="I25" s="186"/>
      <c r="J25" s="186"/>
      <c r="K25" s="80"/>
      <c r="L25" s="64"/>
      <c r="M25" s="65"/>
    </row>
    <row r="26" spans="2:18" ht="20.149999999999999" customHeight="1" thickBot="1" x14ac:dyDescent="0.5">
      <c r="B26" s="32"/>
      <c r="C26" s="33"/>
      <c r="D26" s="488"/>
      <c r="E26" s="488"/>
      <c r="F26" s="488"/>
      <c r="G26" s="33"/>
      <c r="H26" s="57"/>
      <c r="I26" s="459"/>
      <c r="J26" s="459"/>
      <c r="K26" s="34"/>
      <c r="L26" s="35"/>
    </row>
    <row r="27" spans="2:18" ht="20.149999999999999" customHeight="1" thickBot="1" x14ac:dyDescent="0.5">
      <c r="B27" s="36"/>
      <c r="L27" s="37"/>
    </row>
    <row r="28" spans="2:18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89" t="s">
        <v>13</v>
      </c>
      <c r="K28" s="490"/>
      <c r="L28" s="38">
        <f>SUM(L17:L27)</f>
        <v>233.5</v>
      </c>
      <c r="M28" s="63">
        <f>SUM(P18:P26)</f>
        <v>14.97999999999999</v>
      </c>
      <c r="N28" s="133">
        <f>M28/L28</f>
        <v>6.4154175588865048E-2</v>
      </c>
    </row>
    <row r="29" spans="2:18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8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91" t="s">
        <v>19</v>
      </c>
      <c r="K30" s="492"/>
      <c r="L30" s="41">
        <f>L28-L29</f>
        <v>233.5</v>
      </c>
    </row>
    <row r="31" spans="2:18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21.015000000000001</v>
      </c>
    </row>
    <row r="32" spans="2:18" ht="20.149999999999999" customHeight="1" thickBot="1" x14ac:dyDescent="0.5">
      <c r="B32" s="10" t="s">
        <v>23</v>
      </c>
      <c r="C32" s="6"/>
      <c r="D32" s="6"/>
      <c r="E32" s="6"/>
      <c r="F32" s="6"/>
      <c r="G32" s="6"/>
      <c r="H32" s="6"/>
      <c r="I32" s="6"/>
      <c r="J32" s="485" t="s">
        <v>21</v>
      </c>
      <c r="K32" s="486"/>
      <c r="L32" s="43">
        <f>L30+L31</f>
        <v>254.51499999999999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36"/>
      <c r="G34" s="19" t="s">
        <v>439</v>
      </c>
      <c r="H34" s="17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  <row r="41" spans="2:12" ht="20.5" x14ac:dyDescent="0.45">
      <c r="F41" s="202"/>
    </row>
  </sheetData>
  <mergeCells count="26">
    <mergeCell ref="I17:J17"/>
    <mergeCell ref="D19:F19"/>
    <mergeCell ref="I19:J19"/>
    <mergeCell ref="D18:F18"/>
    <mergeCell ref="I18:J18"/>
    <mergeCell ref="J32:K32"/>
    <mergeCell ref="D26:F26"/>
    <mergeCell ref="I26:J26"/>
    <mergeCell ref="J30:K30"/>
    <mergeCell ref="J28:K28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0:F20"/>
    <mergeCell ref="I20:J20"/>
    <mergeCell ref="D17:F17"/>
  </mergeCells>
  <conditionalFormatting sqref="C23">
    <cfRule type="duplicateValues" dxfId="255" priority="5"/>
  </conditionalFormatting>
  <conditionalFormatting sqref="C24">
    <cfRule type="duplicateValues" dxfId="254" priority="1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F1CD2-3B92-44AB-8AF6-4867B85C74EA}">
  <sheetPr>
    <tabColor rgb="FF7030A0"/>
    <pageSetUpPr fitToPage="1"/>
  </sheetPr>
  <dimension ref="B1:P42"/>
  <sheetViews>
    <sheetView topLeftCell="C23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2107</v>
      </c>
      <c r="J10" s="24" t="s">
        <v>27</v>
      </c>
      <c r="K10" s="464">
        <v>202501085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Koufu-Drink Stall                                                1 Venture Avenue, #02-05,         Perennial Business City,         Singapore 608521</v>
      </c>
      <c r="G11" s="470"/>
      <c r="H11" s="471"/>
      <c r="J11" s="26" t="s">
        <v>9</v>
      </c>
      <c r="K11" s="478">
        <v>45661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712</v>
      </c>
      <c r="D18" s="556" t="str">
        <f>VLOOKUP(C18,'Sales Master'!B$3:D$537,2,)</f>
        <v>Bobo ChaCha Cubes 摩摩喳喳</v>
      </c>
      <c r="E18" s="556"/>
      <c r="F18" s="556"/>
      <c r="G18" s="17">
        <v>2</v>
      </c>
      <c r="H18" s="85" t="str">
        <f>VLOOKUP(C18,'Sales Master'!$B$3:$F$2488,5,0)</f>
        <v>800 GM/ Bag包</v>
      </c>
      <c r="I18" s="484" t="str">
        <f>VLOOKUP(C18,'Sales Master'!$B$3:$E$2488,4,0)</f>
        <v>DO!</v>
      </c>
      <c r="J18" s="484"/>
      <c r="K18" s="30">
        <f>VLOOKUP(C18,'Sales Master'!$B$3:$J$537,9,0)</f>
        <v>6</v>
      </c>
      <c r="L18" s="31">
        <f>K18*G18</f>
        <v>12</v>
      </c>
      <c r="N18" s="145">
        <f>VLOOKUP(C18,'Sales Master'!$B$3:$DA$2279,104,0)</f>
        <v>0.89</v>
      </c>
      <c r="O18" s="145">
        <f>K18-N18</f>
        <v>5.1100000000000003</v>
      </c>
      <c r="P18" s="145">
        <f>O18*G18</f>
        <v>10.220000000000001</v>
      </c>
    </row>
    <row r="19" spans="2:16" ht="20.149999999999999" customHeight="1" x14ac:dyDescent="0.45">
      <c r="B19" s="29"/>
      <c r="C19" s="212" t="s">
        <v>807</v>
      </c>
      <c r="D19" s="487" t="str">
        <f>VLOOKUP(C19,'Sales Master'!B$3:D$537,2,)</f>
        <v>Chin Chow  仙草</v>
      </c>
      <c r="E19" s="487"/>
      <c r="F19" s="487"/>
      <c r="G19" s="17">
        <v>1</v>
      </c>
      <c r="H19" s="85" t="str">
        <f>VLOOKUP(C19,'Sales Master'!$B$3:$F$2488,5,0)</f>
        <v>4 KG/ Pkt包</v>
      </c>
      <c r="I19" s="484" t="str">
        <f>VLOOKUP(C19,'Sales Master'!$B$3:$E$2488,4,0)</f>
        <v>TSM</v>
      </c>
      <c r="J19" s="484"/>
      <c r="K19" s="30">
        <f>VLOOKUP(C19,'Sales Master'!$B$3:$J$537,9,0)</f>
        <v>6</v>
      </c>
      <c r="L19" s="31">
        <f>K19*G19</f>
        <v>6</v>
      </c>
      <c r="N19" s="145">
        <f>VLOOKUP(C19,'Sales Master'!$B$3:$DA$2279,104,0)</f>
        <v>4</v>
      </c>
      <c r="O19" s="145">
        <f>K19-N19</f>
        <v>2</v>
      </c>
      <c r="P19" s="145">
        <f>O19*G19</f>
        <v>2</v>
      </c>
    </row>
    <row r="20" spans="2:16" ht="20.149999999999999" customHeight="1" x14ac:dyDescent="0.45">
      <c r="B20" s="29"/>
      <c r="C20" s="212" t="s">
        <v>825</v>
      </c>
      <c r="D20" s="487" t="str">
        <f>VLOOKUP(C20,'Sales Master'!B$3:D$537,2,)</f>
        <v>Green Bean 绿豆</v>
      </c>
      <c r="E20" s="487"/>
      <c r="F20" s="487"/>
      <c r="G20" s="17">
        <v>1</v>
      </c>
      <c r="H20" s="85" t="str">
        <f>VLOOKUP(C20,'Sales Master'!$B$3:$F$2488,5,0)</f>
        <v>5 KG</v>
      </c>
      <c r="I20" s="484" t="str">
        <f>VLOOKUP(C20,'Sales Master'!$B$3:$E$2488,4,0)</f>
        <v>-</v>
      </c>
      <c r="J20" s="484"/>
      <c r="K20" s="30">
        <f>VLOOKUP(C20,'Sales Master'!$B$3:$J$537,9,0)</f>
        <v>13</v>
      </c>
      <c r="L20" s="31">
        <f t="shared" ref="L20" si="0">K20*G20</f>
        <v>13</v>
      </c>
      <c r="N20" s="145">
        <f>VLOOKUP(C20,'Sales Master'!$B$3:$DA$2279,104,0)</f>
        <v>8.75</v>
      </c>
      <c r="O20" s="145">
        <f t="shared" ref="O20" si="1">K20-N20</f>
        <v>4.25</v>
      </c>
      <c r="P20" s="145">
        <f t="shared" ref="P20" si="2">O20*G20</f>
        <v>4.25</v>
      </c>
    </row>
    <row r="21" spans="2:16" ht="20.149999999999999" customHeight="1" x14ac:dyDescent="0.45">
      <c r="B21" s="29"/>
      <c r="C21" s="212" t="s">
        <v>846</v>
      </c>
      <c r="D21" s="487" t="str">
        <f>VLOOKUP(C21,'Sales Master'!B$3:D$537,2,)</f>
        <v>Pearl Barley 薏米</v>
      </c>
      <c r="E21" s="487"/>
      <c r="F21" s="487"/>
      <c r="G21" s="17">
        <v>2</v>
      </c>
      <c r="H21" s="85" t="str">
        <f>VLOOKUP(C21,'Sales Master'!$B$3:$F$2488,5,0)</f>
        <v>5 KG</v>
      </c>
      <c r="I21" s="484" t="str">
        <f>VLOOKUP(C21,'Sales Master'!$B$3:$E$2488,4,0)</f>
        <v>-</v>
      </c>
      <c r="J21" s="484"/>
      <c r="K21" s="30">
        <f>VLOOKUP(C21,'Sales Master'!$B$3:$J$537,9,0)</f>
        <v>10</v>
      </c>
      <c r="L21" s="31">
        <f t="shared" ref="L21" si="3">K21*G21</f>
        <v>20</v>
      </c>
      <c r="N21" s="145">
        <f>VLOOKUP(C21,'Sales Master'!$B$3:$DA$2279,104,0)</f>
        <v>7.6</v>
      </c>
      <c r="O21" s="145">
        <f t="shared" ref="O21" si="4">K21-N21</f>
        <v>2.4000000000000004</v>
      </c>
      <c r="P21" s="145">
        <f t="shared" ref="P21" si="5">O21*G21</f>
        <v>4.8000000000000007</v>
      </c>
    </row>
    <row r="22" spans="2:16" ht="20.149999999999999" customHeight="1" x14ac:dyDescent="0.45">
      <c r="B22" s="29"/>
      <c r="C22" s="212" t="s">
        <v>937</v>
      </c>
      <c r="D22" s="487" t="str">
        <f>VLOOKUP(C22,'Sales Master'!B$3:D$537,2,)</f>
        <v>Lychee in Syrup 荔枝</v>
      </c>
      <c r="E22" s="487"/>
      <c r="F22" s="487"/>
      <c r="G22" s="17">
        <v>2</v>
      </c>
      <c r="H22" s="85" t="str">
        <f>VLOOKUP(C22,'Sales Master'!$B$3:$F$2488,5,0)</f>
        <v>12 CAN/CARTON</v>
      </c>
      <c r="I22" s="484" t="str">
        <f>VLOOKUP(C22,'Sales Master'!$B$3:$E$2488,4,0)</f>
        <v>Statue</v>
      </c>
      <c r="J22" s="484"/>
      <c r="K22" s="30">
        <f>VLOOKUP(C22,'Sales Master'!$B$3:$J$537,9,0)</f>
        <v>22</v>
      </c>
      <c r="L22" s="31">
        <f t="shared" ref="L22" si="6">K22*G22</f>
        <v>44</v>
      </c>
      <c r="N22" s="145">
        <f>VLOOKUP(C22,'Sales Master'!$B$3:$DA$2279,104,0)</f>
        <v>16.5</v>
      </c>
      <c r="O22" s="145">
        <f t="shared" ref="O22" si="7">K22-N22</f>
        <v>5.5</v>
      </c>
      <c r="P22" s="145">
        <f t="shared" ref="P22" si="8">O22*G22</f>
        <v>11</v>
      </c>
    </row>
    <row r="23" spans="2:16" ht="20.149999999999999" customHeight="1" x14ac:dyDescent="0.45">
      <c r="B23" s="29"/>
      <c r="C23" s="212" t="s">
        <v>966</v>
      </c>
      <c r="D23" s="498" t="str">
        <f>VLOOKUP(C23,'Sales Master'!B$3:D$537,2,)</f>
        <v>Coconut Milk 椰浆</v>
      </c>
      <c r="E23" s="498"/>
      <c r="F23" s="498"/>
      <c r="G23" s="17">
        <v>2</v>
      </c>
      <c r="H23" s="85" t="str">
        <f>VLOOKUP(C23,'Sales Master'!$B$3:$F$2488,5,0)</f>
        <v>(1L x 12bag)/箱</v>
      </c>
      <c r="I23" s="484" t="str">
        <f>VLOOKUP(C23,'Sales Master'!$B$3:$E$2488,4,0)</f>
        <v>Kara UHT</v>
      </c>
      <c r="J23" s="484"/>
      <c r="K23" s="30">
        <f>VLOOKUP(C23,'Sales Master'!$B$3:$J$537,9,0)</f>
        <v>54</v>
      </c>
      <c r="L23" s="31">
        <f>K23*G23</f>
        <v>108</v>
      </c>
      <c r="N23" s="145">
        <f>VLOOKUP(C23,'Sales Master'!$B$3:$DA$2279,104,0)</f>
        <v>35.799999999999997</v>
      </c>
      <c r="O23" s="145">
        <f>K23-N23</f>
        <v>18.200000000000003</v>
      </c>
      <c r="P23" s="145">
        <f>O23*G23</f>
        <v>36.400000000000006</v>
      </c>
    </row>
    <row r="24" spans="2:16" ht="20.149999999999999" customHeight="1" x14ac:dyDescent="0.45">
      <c r="B24" s="29"/>
      <c r="C24" s="212"/>
      <c r="D24" s="487"/>
      <c r="E24" s="487"/>
      <c r="F24" s="487"/>
      <c r="G24" s="17"/>
      <c r="H24" s="85"/>
      <c r="I24" s="484"/>
      <c r="J24" s="484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17"/>
      <c r="D25" s="487"/>
      <c r="E25" s="487"/>
      <c r="F25" s="487"/>
      <c r="G25" s="17"/>
      <c r="H25" s="56"/>
      <c r="I25" s="17"/>
      <c r="J25" s="17"/>
      <c r="K25" s="30"/>
      <c r="L25" s="31"/>
    </row>
    <row r="26" spans="2:16" ht="20.149999999999999" customHeight="1" x14ac:dyDescent="0.45">
      <c r="B26" s="29"/>
      <c r="C26" s="17"/>
      <c r="D26" s="487"/>
      <c r="E26" s="487"/>
      <c r="F26" s="487"/>
      <c r="G26" s="17"/>
      <c r="H26" s="56"/>
      <c r="I26" s="56"/>
      <c r="J26" s="17"/>
      <c r="K26" s="30"/>
      <c r="L26" s="31"/>
    </row>
    <row r="27" spans="2:16" ht="20.149999999999999" customHeight="1" x14ac:dyDescent="0.45">
      <c r="B27" s="29"/>
      <c r="C27" s="17"/>
      <c r="D27" s="487"/>
      <c r="E27" s="487"/>
      <c r="F27" s="487"/>
      <c r="G27" s="17"/>
      <c r="H27" s="17"/>
      <c r="I27" s="17"/>
      <c r="J27" s="17"/>
      <c r="K27" s="30"/>
      <c r="L27" s="31"/>
    </row>
    <row r="28" spans="2:16" ht="20.149999999999999" customHeight="1" thickBot="1" x14ac:dyDescent="0.5">
      <c r="B28" s="32"/>
      <c r="C28" s="33"/>
      <c r="D28" s="488"/>
      <c r="E28" s="488"/>
      <c r="F28" s="488"/>
      <c r="G28" s="33"/>
      <c r="H28" s="33"/>
      <c r="I28" s="33"/>
      <c r="J28" s="33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SUM(L17:L28)</f>
        <v>203</v>
      </c>
      <c r="M30" s="63">
        <f>SUM(P18:P23)-L30*0.02</f>
        <v>64.61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203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18.27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221.27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6">
    <mergeCell ref="D24:F24"/>
    <mergeCell ref="I24:J24"/>
    <mergeCell ref="D19:F19"/>
    <mergeCell ref="I19:J19"/>
    <mergeCell ref="J34:K34"/>
    <mergeCell ref="D25:F25"/>
    <mergeCell ref="D26:F26"/>
    <mergeCell ref="D27:F27"/>
    <mergeCell ref="D28:F28"/>
    <mergeCell ref="J30:K30"/>
    <mergeCell ref="J32:K32"/>
    <mergeCell ref="I17:J17"/>
    <mergeCell ref="D21:F21"/>
    <mergeCell ref="I21:J21"/>
    <mergeCell ref="D23:F23"/>
    <mergeCell ref="I23:J23"/>
    <mergeCell ref="D18:F18"/>
    <mergeCell ref="I18:J18"/>
    <mergeCell ref="D17:F17"/>
    <mergeCell ref="D20:F20"/>
    <mergeCell ref="I20:J20"/>
    <mergeCell ref="D22:F22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44F8B-3120-49C5-BCBD-1208B7D23DF3}">
  <sheetPr>
    <tabColor rgb="FF7030A0"/>
    <pageSetUpPr fitToPage="1"/>
  </sheetPr>
  <dimension ref="B1:V47"/>
  <sheetViews>
    <sheetView topLeftCell="A33" workbookViewId="0">
      <selection activeCell="G25" sqref="G2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2121</v>
      </c>
      <c r="J10" s="24" t="s">
        <v>27</v>
      </c>
      <c r="K10" s="464">
        <v>202501173</v>
      </c>
      <c r="L10" s="465"/>
    </row>
    <row r="11" spans="2:14" ht="20.149999999999999" customHeight="1" x14ac:dyDescent="0.45">
      <c r="B11" s="466" t="s">
        <v>2123</v>
      </c>
      <c r="C11" s="467"/>
      <c r="D11" s="468"/>
      <c r="E11" s="25"/>
      <c r="F11" s="469" t="str">
        <f>VLOOKUP(H10,'Delivery Location'!A$4:N$466,2,0)</f>
        <v>Universal Dining T2- Stall 1- Drinks                60 Airport Boulevard, Terminal 2 Departure Transit Lounge,             Central Level 3, Singapore 819643  Contact person: Ben 85108039</v>
      </c>
      <c r="G11" s="470"/>
      <c r="H11" s="471"/>
      <c r="J11" s="26" t="s">
        <v>9</v>
      </c>
      <c r="K11" s="478">
        <v>45665</v>
      </c>
      <c r="L11" s="479"/>
    </row>
    <row r="12" spans="2:14" ht="20.149999999999999" customHeight="1" x14ac:dyDescent="0.45">
      <c r="B12" s="480" t="s">
        <v>2032</v>
      </c>
      <c r="C12" s="453"/>
      <c r="D12" s="481"/>
      <c r="E12" s="25"/>
      <c r="F12" s="472"/>
      <c r="G12" s="473"/>
      <c r="H12" s="474"/>
      <c r="J12" s="26" t="s">
        <v>127</v>
      </c>
      <c r="K12" s="599" t="s">
        <v>2255</v>
      </c>
      <c r="L12" s="483"/>
    </row>
    <row r="13" spans="2:14" ht="20.149999999999999" customHeight="1" x14ac:dyDescent="0.45">
      <c r="B13" s="594" t="s">
        <v>2033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609</v>
      </c>
      <c r="L13" s="483"/>
    </row>
    <row r="14" spans="2:14" ht="20.149999999999999" customHeight="1" x14ac:dyDescent="0.45">
      <c r="B14" s="480" t="s">
        <v>2034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508"/>
      <c r="C15" s="509"/>
      <c r="D15" s="510"/>
      <c r="E15" s="21"/>
      <c r="F15" s="475"/>
      <c r="G15" s="476"/>
      <c r="H15" s="477"/>
      <c r="J15" s="27" t="s">
        <v>11</v>
      </c>
      <c r="K15" s="119" t="s">
        <v>587</v>
      </c>
      <c r="L15" s="118"/>
    </row>
    <row r="16" spans="2:14" ht="19" thickBot="1" x14ac:dyDescent="0.5">
      <c r="J16" s="17"/>
      <c r="N16" s="93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x14ac:dyDescent="0.45">
      <c r="B18" s="58" t="s">
        <v>2064</v>
      </c>
      <c r="C18" s="212" t="str">
        <f>VLOOKUP(B18,'Sales Master'!A$3:B$537,2,0)</f>
        <v>P3006A</v>
      </c>
      <c r="D18" s="487" t="str">
        <f>VLOOKUP(C18,'Sales Master'!B$3:D$537,2,)</f>
        <v>Small Red Bean 小红豆</v>
      </c>
      <c r="E18" s="487"/>
      <c r="F18" s="487"/>
      <c r="G18" s="76">
        <v>3</v>
      </c>
      <c r="H18" s="209" t="str">
        <f>VLOOKUP(C18,'Sales Master'!$B$3:$F$2420,5,0)</f>
        <v>5 KG</v>
      </c>
      <c r="I18" s="568" t="str">
        <f>VLOOKUP(C18,'Sales Master'!$B$3:$E$2420,4,0)</f>
        <v>-</v>
      </c>
      <c r="J18" s="568"/>
      <c r="K18" s="83">
        <f>VLOOKUP(C18,'Sales Master'!B$3:CQ$682,94,0)</f>
        <v>17.5</v>
      </c>
      <c r="L18" s="84">
        <f t="shared" ref="L18" si="0">K18*G18</f>
        <v>52.5</v>
      </c>
      <c r="M18" s="65"/>
      <c r="N18" s="145">
        <f>VLOOKUP(C18,'Sales Master'!$B$3:$DA$2279,104,0)</f>
        <v>12.75</v>
      </c>
      <c r="O18" s="145">
        <f t="shared" ref="O18" si="1">K18-N18</f>
        <v>4.75</v>
      </c>
      <c r="P18" s="145">
        <f t="shared" ref="P18" si="2">O18*G18</f>
        <v>14.25</v>
      </c>
      <c r="R18" s="19">
        <v>2</v>
      </c>
      <c r="S18" s="19" t="s">
        <v>34</v>
      </c>
      <c r="T18" s="19" t="s">
        <v>59</v>
      </c>
      <c r="V18" s="19">
        <v>6</v>
      </c>
    </row>
    <row r="19" spans="2:22" ht="20.149999999999999" customHeight="1" x14ac:dyDescent="0.45">
      <c r="B19" s="58" t="s">
        <v>2082</v>
      </c>
      <c r="C19" s="212" t="str">
        <f>VLOOKUP(B19,'Sales Master'!A$3:B$537,2,0)</f>
        <v>P3009A</v>
      </c>
      <c r="D19" s="487" t="str">
        <f>VLOOKUP(C19,'Sales Master'!B$3:D$537,2,)</f>
        <v>Green Bean 绿豆</v>
      </c>
      <c r="E19" s="487"/>
      <c r="F19" s="487"/>
      <c r="G19" s="76">
        <v>2</v>
      </c>
      <c r="H19" s="209" t="str">
        <f>VLOOKUP(C19,'Sales Master'!$B$3:$F$2420,5,0)</f>
        <v>5 KG</v>
      </c>
      <c r="I19" s="568" t="str">
        <f>VLOOKUP(C19,'Sales Master'!$B$3:$E$2420,4,0)</f>
        <v>-</v>
      </c>
      <c r="J19" s="568"/>
      <c r="K19" s="83">
        <f>VLOOKUP(C19,'Sales Master'!B$3:CQ$682,94,0)</f>
        <v>13</v>
      </c>
      <c r="L19" s="84">
        <f>K19*G19</f>
        <v>26</v>
      </c>
      <c r="M19" s="65"/>
      <c r="N19" s="145">
        <f>VLOOKUP(C19,'Sales Master'!$B$3:$DA$2279,104,0)</f>
        <v>8.75</v>
      </c>
      <c r="O19" s="145">
        <f>K19-N19</f>
        <v>4.25</v>
      </c>
      <c r="P19" s="145">
        <f>O19*G19</f>
        <v>8.5</v>
      </c>
    </row>
    <row r="20" spans="2:22" ht="20.149999999999999" customHeight="1" x14ac:dyDescent="0.45">
      <c r="B20" s="395" t="s">
        <v>2065</v>
      </c>
      <c r="C20" s="212" t="str">
        <f>VLOOKUP(B20,'Sales Master'!A$3:B$537,2,0)</f>
        <v>P3016A</v>
      </c>
      <c r="D20" s="487" t="str">
        <f>VLOOKUP(C20,'Sales Master'!B$3:D$537,2,)</f>
        <v>Pearl Barley 薏米</v>
      </c>
      <c r="E20" s="487"/>
      <c r="F20" s="487"/>
      <c r="G20" s="76">
        <v>1</v>
      </c>
      <c r="H20" s="209" t="str">
        <f>VLOOKUP(C20,'Sales Master'!$B$3:$F$2420,5,0)</f>
        <v>5 KG</v>
      </c>
      <c r="I20" s="568" t="str">
        <f>VLOOKUP(C20,'Sales Master'!$B$3:$E$2420,4,0)</f>
        <v>-</v>
      </c>
      <c r="J20" s="568"/>
      <c r="K20" s="83">
        <f>VLOOKUP(C20,'Sales Master'!B$3:CQ$682,94,0)</f>
        <v>10</v>
      </c>
      <c r="L20" s="84">
        <f>K20*G20</f>
        <v>10</v>
      </c>
      <c r="M20" s="65"/>
      <c r="N20" s="145">
        <f>VLOOKUP(C20,'Sales Master'!$B$3:$DA$2279,104,0)</f>
        <v>7.6</v>
      </c>
      <c r="O20" s="145">
        <f>K20-N20</f>
        <v>2.4000000000000004</v>
      </c>
      <c r="P20" s="145">
        <f>O20*G20</f>
        <v>2.4000000000000004</v>
      </c>
    </row>
    <row r="21" spans="2:22" ht="20.149999999999999" customHeight="1" x14ac:dyDescent="0.45">
      <c r="B21" s="395" t="s">
        <v>2081</v>
      </c>
      <c r="C21" s="212" t="str">
        <f>VLOOKUP(B21,'Sales Master'!A$3:B$537,2,0)</f>
        <v>P3018A</v>
      </c>
      <c r="D21" s="487" t="str">
        <f>VLOOKUP(C21,'Sales Master'!B$3:D$537,2,)</f>
        <v>Small Sago 小丸</v>
      </c>
      <c r="E21" s="487"/>
      <c r="F21" s="487"/>
      <c r="G21" s="76">
        <v>1</v>
      </c>
      <c r="H21" s="209" t="str">
        <f>VLOOKUP(C21,'Sales Master'!$B$3:$F$2420,5,0)</f>
        <v>5 KG</v>
      </c>
      <c r="I21" s="568" t="str">
        <f>VLOOKUP(C21,'Sales Master'!$B$3:$E$2420,4,0)</f>
        <v>-</v>
      </c>
      <c r="J21" s="568"/>
      <c r="K21" s="83">
        <f>VLOOKUP(C21,'Sales Master'!B$3:CQ$682,94,0)</f>
        <v>10.5</v>
      </c>
      <c r="L21" s="84">
        <f>K21*G21</f>
        <v>10.5</v>
      </c>
      <c r="M21" s="65"/>
      <c r="N21" s="145">
        <f>VLOOKUP(C21,'Sales Master'!$B$3:$DA$2279,104,0)</f>
        <v>0.70833333333333326</v>
      </c>
      <c r="O21" s="145">
        <f>K21-N21</f>
        <v>9.7916666666666661</v>
      </c>
      <c r="P21" s="145">
        <f>O21*G21</f>
        <v>9.7916666666666661</v>
      </c>
    </row>
    <row r="22" spans="2:22" ht="20.149999999999999" customHeight="1" x14ac:dyDescent="0.45">
      <c r="B22" s="58" t="s">
        <v>2083</v>
      </c>
      <c r="C22" s="212" t="str">
        <f>VLOOKUP(B22,'Sales Master'!A$3:B$537,2,0)</f>
        <v>P3019A</v>
      </c>
      <c r="D22" s="487" t="str">
        <f>VLOOKUP(C22,'Sales Master'!B$3:D$537,2,)</f>
        <v>Dried Longan 龙眼干</v>
      </c>
      <c r="E22" s="487"/>
      <c r="F22" s="487"/>
      <c r="G22" s="76">
        <v>2</v>
      </c>
      <c r="H22" s="209" t="str">
        <f>VLOOKUP(C22,'Sales Master'!$B$3:$F$2420,5,0)</f>
        <v>1 kg/ Pkt包</v>
      </c>
      <c r="I22" s="568" t="str">
        <f>VLOOKUP(C22,'Sales Master'!$B$3:$E$2420,4,0)</f>
        <v>TL</v>
      </c>
      <c r="J22" s="568"/>
      <c r="K22" s="83">
        <f>VLOOKUP(C22,'Sales Master'!B$3:CQ$682,94,0)</f>
        <v>15</v>
      </c>
      <c r="L22" s="84">
        <f>K22*G22</f>
        <v>30</v>
      </c>
      <c r="M22" s="65"/>
      <c r="N22" s="145">
        <f>VLOOKUP(C22,'Sales Master'!$B$3:$DA$2279,104,0)</f>
        <v>8.8000000000000007</v>
      </c>
      <c r="O22" s="145">
        <f>K22-N22</f>
        <v>6.1999999999999993</v>
      </c>
      <c r="P22" s="145">
        <f>O22*G22</f>
        <v>12.399999999999999</v>
      </c>
    </row>
    <row r="23" spans="2:22" ht="20.149999999999999" customHeight="1" x14ac:dyDescent="0.45">
      <c r="B23" s="395" t="s">
        <v>2149</v>
      </c>
      <c r="C23" s="212" t="str">
        <f>VLOOKUP(B23,'Sales Master'!A$3:B$537,2,0)</f>
        <v>P4010</v>
      </c>
      <c r="D23" s="487" t="str">
        <f>VLOOKUP(C23,'Sales Master'!B$3:D$537,2,)</f>
        <v>Lychee in Syrup 荔枝</v>
      </c>
      <c r="E23" s="487"/>
      <c r="F23" s="487"/>
      <c r="G23" s="76">
        <v>2</v>
      </c>
      <c r="H23" s="209" t="str">
        <f>VLOOKUP(C23,'Sales Master'!$B$3:$F$2420,5,0)</f>
        <v>12can/箱</v>
      </c>
      <c r="I23" s="568" t="str">
        <f>VLOOKUP(C23,'Sales Master'!$B$3:$E$2420,4,0)</f>
        <v>MiLi</v>
      </c>
      <c r="J23" s="568"/>
      <c r="K23" s="83">
        <f>VLOOKUP(C23,'Sales Master'!B$3:CQ$682,94,0)</f>
        <v>26</v>
      </c>
      <c r="L23" s="84">
        <f>K23*G23</f>
        <v>52</v>
      </c>
      <c r="M23" s="65"/>
      <c r="N23" s="145">
        <f>VLOOKUP(C23,'Sales Master'!$B$3:$DA$2279,104,0)</f>
        <v>20</v>
      </c>
      <c r="O23" s="145">
        <f>K23-N23</f>
        <v>6</v>
      </c>
      <c r="P23" s="145">
        <f>O23*G23</f>
        <v>12</v>
      </c>
    </row>
    <row r="24" spans="2:22" ht="20.149999999999999" customHeight="1" x14ac:dyDescent="0.45">
      <c r="B24" s="58" t="s">
        <v>2068</v>
      </c>
      <c r="C24" s="212" t="str">
        <f>VLOOKUP(B24,'Sales Master'!A$3:B$537,2,0)</f>
        <v>P4014</v>
      </c>
      <c r="D24" s="487" t="str">
        <f>VLOOKUP(C24,'Sales Master'!B$3:D$537,2,)</f>
        <v>Cream Corn 玉米浆</v>
      </c>
      <c r="E24" s="487"/>
      <c r="F24" s="487"/>
      <c r="G24" s="76">
        <v>1</v>
      </c>
      <c r="H24" s="209" t="str">
        <f>VLOOKUP(C24,'Sales Master'!$B$3:$F$2420,5,0)</f>
        <v>410 GM x 24/ Ctn箱</v>
      </c>
      <c r="I24" s="568" t="str">
        <f>VLOOKUP(C24,'Sales Master'!$B$3:$E$2420,4,0)</f>
        <v>Statue</v>
      </c>
      <c r="J24" s="568"/>
      <c r="K24" s="83">
        <f>VLOOKUP(C24,'Sales Master'!B$3:CQ$682,94,0)</f>
        <v>22</v>
      </c>
      <c r="L24" s="84">
        <f t="shared" ref="L24" si="3">K24*G24</f>
        <v>22</v>
      </c>
      <c r="M24" s="65"/>
      <c r="N24" s="145">
        <f>VLOOKUP(C24,'Sales Master'!$B$3:$DA$2279,104,0)</f>
        <v>18</v>
      </c>
      <c r="O24" s="145">
        <f t="shared" ref="O24" si="4">K24-N24</f>
        <v>4</v>
      </c>
      <c r="P24" s="145">
        <f t="shared" ref="P24" si="5">O24*G24</f>
        <v>4</v>
      </c>
    </row>
    <row r="25" spans="2:22" ht="20.149999999999999" customHeight="1" x14ac:dyDescent="0.45">
      <c r="B25" s="395" t="s">
        <v>2080</v>
      </c>
      <c r="C25" s="212" t="str">
        <f>VLOOKUP(B25,'Sales Master'!A$3:B$537,2,0)</f>
        <v>P6011</v>
      </c>
      <c r="D25" s="487" t="str">
        <f>VLOOKUP(C25,'Sales Master'!B$3:D$537,2,)</f>
        <v>Ginger 老姜</v>
      </c>
      <c r="E25" s="487"/>
      <c r="F25" s="487"/>
      <c r="G25" s="76">
        <v>1</v>
      </c>
      <c r="H25" s="209" t="str">
        <f>VLOOKUP(C25,'Sales Master'!$B$3:$F$2420,5,0)</f>
        <v>1 KG</v>
      </c>
      <c r="I25" s="568" t="str">
        <f>VLOOKUP(C25,'Sales Master'!$B$3:$E$2420,4,0)</f>
        <v>-</v>
      </c>
      <c r="J25" s="568"/>
      <c r="K25" s="83">
        <f>VLOOKUP(C25,'Sales Master'!B$3:CQ$682,94,0)</f>
        <v>5</v>
      </c>
      <c r="L25" s="84">
        <f t="shared" ref="L25" si="6">K25*G25</f>
        <v>5</v>
      </c>
      <c r="M25" s="65"/>
      <c r="N25" s="145">
        <f>VLOOKUP(C25,'Sales Master'!$B$3:$DA$2279,104,0)</f>
        <v>6</v>
      </c>
      <c r="O25" s="145">
        <f t="shared" ref="O25" si="7">K25-N25</f>
        <v>-1</v>
      </c>
      <c r="P25" s="145">
        <f t="shared" ref="P25" si="8">O25*G25</f>
        <v>-1</v>
      </c>
    </row>
    <row r="26" spans="2:22" ht="20.149999999999999" customHeight="1" x14ac:dyDescent="0.45">
      <c r="B26" s="58"/>
      <c r="C26" s="212"/>
      <c r="D26" s="487"/>
      <c r="E26" s="487"/>
      <c r="F26" s="487"/>
      <c r="G26" s="76"/>
      <c r="H26" s="209"/>
      <c r="I26" s="568"/>
      <c r="J26" s="568"/>
      <c r="K26" s="83"/>
      <c r="L26" s="84"/>
      <c r="M26" s="65"/>
      <c r="N26" s="145"/>
      <c r="O26" s="145"/>
      <c r="P26" s="145"/>
    </row>
    <row r="27" spans="2:22" ht="20.149999999999999" customHeight="1" x14ac:dyDescent="0.45">
      <c r="B27" s="58"/>
      <c r="C27" s="212"/>
      <c r="D27" s="487"/>
      <c r="E27" s="487"/>
      <c r="F27" s="487"/>
      <c r="G27" s="76"/>
      <c r="H27" s="209"/>
      <c r="I27" s="568"/>
      <c r="J27" s="568"/>
      <c r="K27" s="83"/>
      <c r="L27" s="84"/>
      <c r="M27" s="65"/>
      <c r="N27" s="145"/>
      <c r="O27" s="145"/>
      <c r="P27" s="145"/>
    </row>
    <row r="28" spans="2:22" ht="20.149999999999999" customHeight="1" x14ac:dyDescent="0.45">
      <c r="B28" s="58"/>
      <c r="C28" s="212"/>
      <c r="D28" s="487"/>
      <c r="E28" s="487"/>
      <c r="F28" s="487"/>
      <c r="G28" s="76"/>
      <c r="H28" s="209"/>
      <c r="I28" s="568"/>
      <c r="J28" s="568"/>
      <c r="K28" s="83"/>
      <c r="L28" s="84"/>
      <c r="M28" s="65"/>
      <c r="N28" s="145"/>
      <c r="O28" s="145"/>
      <c r="P28" s="145"/>
    </row>
    <row r="29" spans="2:22" ht="20.149999999999999" customHeight="1" x14ac:dyDescent="0.45">
      <c r="B29" s="58"/>
      <c r="C29" s="212"/>
      <c r="D29" s="487"/>
      <c r="E29" s="487"/>
      <c r="F29" s="487"/>
      <c r="G29" s="76"/>
      <c r="H29" s="209"/>
      <c r="I29" s="568"/>
      <c r="J29" s="568"/>
      <c r="K29" s="83"/>
      <c r="L29" s="84"/>
      <c r="M29" s="65"/>
      <c r="N29" s="145"/>
      <c r="O29" s="145"/>
      <c r="P29" s="145"/>
    </row>
    <row r="30" spans="2:22" ht="20.149999999999999" customHeight="1" x14ac:dyDescent="0.45">
      <c r="B30" s="58"/>
      <c r="C30" s="212"/>
      <c r="D30" s="487"/>
      <c r="E30" s="487"/>
      <c r="F30" s="487"/>
      <c r="G30" s="76"/>
      <c r="H30" s="209"/>
      <c r="I30" s="568"/>
      <c r="J30" s="568"/>
      <c r="K30" s="83"/>
      <c r="L30" s="84"/>
      <c r="M30" s="65"/>
      <c r="N30" s="145"/>
      <c r="O30" s="145"/>
      <c r="P30" s="145"/>
    </row>
    <row r="31" spans="2:22" ht="20.149999999999999" customHeight="1" x14ac:dyDescent="0.45">
      <c r="B31" s="58"/>
      <c r="C31" s="212"/>
      <c r="D31" s="487"/>
      <c r="E31" s="487"/>
      <c r="F31" s="487"/>
      <c r="G31" s="76"/>
      <c r="H31" s="209"/>
      <c r="I31" s="568"/>
      <c r="J31" s="568"/>
      <c r="K31" s="83"/>
      <c r="L31" s="84"/>
      <c r="M31" s="65"/>
      <c r="N31" s="145"/>
      <c r="O31" s="145"/>
      <c r="P31" s="145"/>
    </row>
    <row r="32" spans="2:22" ht="20.149999999999999" customHeight="1" x14ac:dyDescent="0.45">
      <c r="B32" s="58"/>
      <c r="C32" s="212"/>
      <c r="D32" s="487"/>
      <c r="E32" s="487"/>
      <c r="F32" s="487"/>
      <c r="G32" s="76"/>
      <c r="H32" s="209"/>
      <c r="I32" s="568"/>
      <c r="J32" s="568"/>
      <c r="K32" s="83"/>
      <c r="L32" s="84"/>
      <c r="M32" s="65"/>
      <c r="N32" s="145"/>
      <c r="O32" s="145"/>
      <c r="P32" s="145"/>
    </row>
    <row r="33" spans="2:16" ht="20.149999999999999" customHeight="1" x14ac:dyDescent="0.45">
      <c r="B33" s="58"/>
      <c r="C33" s="212"/>
      <c r="D33" s="487"/>
      <c r="E33" s="487"/>
      <c r="F33" s="487"/>
      <c r="G33" s="76"/>
      <c r="H33" s="209"/>
      <c r="I33" s="568"/>
      <c r="J33" s="568"/>
      <c r="K33" s="83"/>
      <c r="L33" s="84"/>
      <c r="M33" s="65"/>
      <c r="N33" s="145"/>
      <c r="O33" s="145"/>
      <c r="P33" s="145"/>
    </row>
    <row r="34" spans="2:16" ht="20.149999999999999" customHeight="1" thickBot="1" x14ac:dyDescent="0.5">
      <c r="B34" s="47"/>
      <c r="C34" s="48"/>
      <c r="D34" s="48"/>
      <c r="E34" s="48"/>
      <c r="F34" s="48"/>
      <c r="G34" s="48"/>
      <c r="H34" s="48"/>
      <c r="I34" s="48"/>
      <c r="J34" s="48"/>
      <c r="K34" s="48"/>
      <c r="L34" s="49"/>
    </row>
    <row r="35" spans="2:16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89" t="s">
        <v>13</v>
      </c>
      <c r="K35" s="490"/>
      <c r="L35" s="38">
        <f>SUM(L18:L34)</f>
        <v>208</v>
      </c>
      <c r="M35" s="63">
        <f>SUM(P18:P34)</f>
        <v>62.341666666666661</v>
      </c>
      <c r="N35" s="133">
        <f>M35/L35</f>
        <v>0.29971955128205124</v>
      </c>
    </row>
    <row r="36" spans="2:16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v>0</v>
      </c>
    </row>
    <row r="37" spans="2:16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91" t="s">
        <v>19</v>
      </c>
      <c r="K37" s="492"/>
      <c r="L37" s="41">
        <f>L35-L36</f>
        <v>208</v>
      </c>
    </row>
    <row r="38" spans="2:16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18.72</v>
      </c>
    </row>
    <row r="39" spans="2:16" ht="20.149999999999999" customHeight="1" thickBot="1" x14ac:dyDescent="0.5">
      <c r="B39" s="10" t="s">
        <v>676</v>
      </c>
      <c r="C39" s="6"/>
      <c r="D39" s="6"/>
      <c r="E39" s="6"/>
      <c r="F39" s="6"/>
      <c r="G39" s="6"/>
      <c r="H39" s="6"/>
      <c r="I39" s="6"/>
      <c r="J39" s="485" t="s">
        <v>21</v>
      </c>
      <c r="K39" s="486"/>
      <c r="L39" s="43">
        <f>L37+L38</f>
        <v>226.72</v>
      </c>
    </row>
    <row r="40" spans="2:16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6" ht="20.149999999999999" customHeight="1" x14ac:dyDescent="0.45">
      <c r="B41" s="144" t="s">
        <v>666</v>
      </c>
      <c r="L41" s="37"/>
    </row>
    <row r="42" spans="2:16" ht="20.149999999999999" customHeight="1" x14ac:dyDescent="0.45">
      <c r="B42" s="36"/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44"/>
      <c r="C45" s="45"/>
      <c r="D45" s="45"/>
      <c r="J45" s="45"/>
      <c r="K45" s="45"/>
      <c r="L45" s="46"/>
    </row>
    <row r="46" spans="2:16" ht="20.149999999999999" customHeight="1" x14ac:dyDescent="0.45">
      <c r="B46" s="36" t="s">
        <v>25</v>
      </c>
      <c r="J46" s="19" t="s">
        <v>26</v>
      </c>
      <c r="L46" s="37"/>
    </row>
    <row r="47" spans="2:16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9">
    <mergeCell ref="D32:F32"/>
    <mergeCell ref="D33:F33"/>
    <mergeCell ref="I29:J29"/>
    <mergeCell ref="I30:J30"/>
    <mergeCell ref="J37:K37"/>
    <mergeCell ref="D31:F31"/>
    <mergeCell ref="D29:F29"/>
    <mergeCell ref="D30:F30"/>
    <mergeCell ref="J39:K39"/>
    <mergeCell ref="J35:K35"/>
    <mergeCell ref="I31:J31"/>
    <mergeCell ref="I32:J32"/>
    <mergeCell ref="I33:J33"/>
    <mergeCell ref="I28:J28"/>
    <mergeCell ref="D20:F20"/>
    <mergeCell ref="I20:J20"/>
    <mergeCell ref="D26:F26"/>
    <mergeCell ref="D27:F27"/>
    <mergeCell ref="D28:F28"/>
    <mergeCell ref="I27:J27"/>
    <mergeCell ref="I24:J24"/>
    <mergeCell ref="D19:F19"/>
    <mergeCell ref="I26:J26"/>
    <mergeCell ref="I17:J17"/>
    <mergeCell ref="D18:F18"/>
    <mergeCell ref="I18:J18"/>
    <mergeCell ref="D23:F23"/>
    <mergeCell ref="I23:J23"/>
    <mergeCell ref="D17:F17"/>
    <mergeCell ref="I19:J19"/>
    <mergeCell ref="D21:F21"/>
    <mergeCell ref="I21:J21"/>
    <mergeCell ref="D25:F25"/>
    <mergeCell ref="I25:J25"/>
    <mergeCell ref="D22:F22"/>
    <mergeCell ref="I22:J22"/>
    <mergeCell ref="D24:F24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98425196850393704" right="0.23622047244094491" top="0" bottom="0" header="0" footer="0"/>
  <pageSetup paperSize="9" scale="72" orientation="portrait" r:id="rId1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63FFA-EF6F-4316-B134-02B4385100D8}">
  <sheetPr>
    <tabColor rgb="FF7030A0"/>
    <pageSetUpPr fitToPage="1"/>
  </sheetPr>
  <dimension ref="B1:V45"/>
  <sheetViews>
    <sheetView topLeftCell="A25" workbookViewId="0">
      <selection activeCell="D21" sqref="D21:F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2122</v>
      </c>
      <c r="J10" s="24" t="s">
        <v>27</v>
      </c>
      <c r="K10" s="464">
        <v>202504243</v>
      </c>
      <c r="L10" s="465"/>
    </row>
    <row r="11" spans="2:14" ht="20.149999999999999" customHeight="1" x14ac:dyDescent="0.45">
      <c r="B11" s="466" t="s">
        <v>2123</v>
      </c>
      <c r="C11" s="467"/>
      <c r="D11" s="468"/>
      <c r="E11" s="25"/>
      <c r="F11" s="469" t="str">
        <f>VLOOKUP(H10,'Delivery Location'!A$4:N$466,2,0)</f>
        <v>Hill Street Coffee Shop- T3 Drinks 7                 65 Airport Boulevard, Level 3     Terminal 3 Departure Transit Area, Singapore 819663                                  Contact person: Ben 85108039</v>
      </c>
      <c r="G11" s="470"/>
      <c r="H11" s="471"/>
      <c r="J11" s="26" t="s">
        <v>9</v>
      </c>
      <c r="K11" s="478">
        <v>45757</v>
      </c>
      <c r="L11" s="479"/>
    </row>
    <row r="12" spans="2:14" ht="20.149999999999999" customHeight="1" x14ac:dyDescent="0.45">
      <c r="B12" s="480" t="s">
        <v>2032</v>
      </c>
      <c r="C12" s="453"/>
      <c r="D12" s="481"/>
      <c r="E12" s="25"/>
      <c r="F12" s="472"/>
      <c r="G12" s="473"/>
      <c r="H12" s="474"/>
      <c r="J12" s="26" t="s">
        <v>127</v>
      </c>
      <c r="K12" s="599" t="s">
        <v>2300</v>
      </c>
      <c r="L12" s="483"/>
    </row>
    <row r="13" spans="2:14" ht="20.149999999999999" customHeight="1" x14ac:dyDescent="0.45">
      <c r="B13" s="594" t="s">
        <v>2033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609</v>
      </c>
      <c r="L13" s="483"/>
    </row>
    <row r="14" spans="2:14" ht="20.149999999999999" customHeight="1" x14ac:dyDescent="0.45">
      <c r="B14" s="480" t="s">
        <v>2034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508"/>
      <c r="C15" s="509"/>
      <c r="D15" s="510"/>
      <c r="E15" s="21"/>
      <c r="F15" s="475"/>
      <c r="G15" s="476"/>
      <c r="H15" s="477"/>
      <c r="J15" s="27" t="s">
        <v>11</v>
      </c>
      <c r="K15" s="119" t="s">
        <v>587</v>
      </c>
      <c r="L15" s="118"/>
    </row>
    <row r="16" spans="2:14" ht="19" thickBot="1" x14ac:dyDescent="0.5">
      <c r="J16" s="17"/>
      <c r="N16" s="93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x14ac:dyDescent="0.45">
      <c r="B18" s="259" t="s">
        <v>2231</v>
      </c>
      <c r="C18" s="212" t="str">
        <f>VLOOKUP(B18,'Sales Master'!A$3:B$537,2,0)</f>
        <v>M1016A</v>
      </c>
      <c r="D18" s="487" t="str">
        <f>VLOOKUP(C18,'Sales Master'!B$3:D$537,2,)</f>
        <v>Coconut Sugar Syrup 椰糖浆</v>
      </c>
      <c r="E18" s="487"/>
      <c r="F18" s="487"/>
      <c r="G18" s="76">
        <v>2</v>
      </c>
      <c r="H18" s="209" t="str">
        <f>VLOOKUP(C18,'Sales Master'!$B$3:$F$2420,5,0)</f>
        <v>GW: 5 KG/ Btl支</v>
      </c>
      <c r="I18" s="568" t="str">
        <f>VLOOKUP(C18,'Sales Master'!$B$3:$E$2420,4,0)</f>
        <v>DO!</v>
      </c>
      <c r="J18" s="568"/>
      <c r="K18" s="83">
        <f>VLOOKUP(C18,'Sales Master'!B$3:CQ$682,94,0)</f>
        <v>20</v>
      </c>
      <c r="L18" s="84">
        <f t="shared" ref="L18" si="0">K18*G18</f>
        <v>40</v>
      </c>
      <c r="M18" s="65"/>
      <c r="N18" s="145">
        <f>VLOOKUP(C18,'Sales Master'!$B$3:$DA$2279,104,0)</f>
        <v>0</v>
      </c>
      <c r="O18" s="145">
        <f t="shared" ref="O18" si="1">K18-N18</f>
        <v>20</v>
      </c>
      <c r="P18" s="145">
        <f t="shared" ref="P18" si="2">O18*G18</f>
        <v>40</v>
      </c>
      <c r="R18" s="19">
        <v>2</v>
      </c>
      <c r="S18" s="19" t="s">
        <v>34</v>
      </c>
      <c r="T18" s="19" t="s">
        <v>59</v>
      </c>
      <c r="V18" s="19">
        <v>6</v>
      </c>
    </row>
    <row r="19" spans="2:22" ht="20.149999999999999" customHeight="1" x14ac:dyDescent="0.45">
      <c r="B19" s="259" t="s">
        <v>2064</v>
      </c>
      <c r="C19" s="212" t="str">
        <f>VLOOKUP(B19,'Sales Master'!A$3:B$537,2,0)</f>
        <v>P3006A</v>
      </c>
      <c r="D19" s="487" t="str">
        <f>VLOOKUP(C19,'Sales Master'!B$3:D$537,2,)</f>
        <v>Small Red Bean 小红豆</v>
      </c>
      <c r="E19" s="487"/>
      <c r="F19" s="487"/>
      <c r="G19" s="76">
        <v>2</v>
      </c>
      <c r="H19" s="209" t="str">
        <f>VLOOKUP(C19,'Sales Master'!$B$3:$F$2420,5,0)</f>
        <v>5 KG</v>
      </c>
      <c r="I19" s="568" t="str">
        <f>VLOOKUP(C19,'Sales Master'!$B$3:$E$2420,4,0)</f>
        <v>-</v>
      </c>
      <c r="J19" s="568"/>
      <c r="K19" s="83">
        <f>VLOOKUP(C19,'Sales Master'!B$3:CQ$682,94,0)</f>
        <v>17.5</v>
      </c>
      <c r="L19" s="84">
        <f>K19*G19</f>
        <v>35</v>
      </c>
      <c r="M19" s="65"/>
      <c r="N19" s="145">
        <f>VLOOKUP(C19,'Sales Master'!$B$3:$DA$2279,104,0)</f>
        <v>12.75</v>
      </c>
      <c r="O19" s="145">
        <f>K19-N19</f>
        <v>4.75</v>
      </c>
      <c r="P19" s="145">
        <f>O19*G19</f>
        <v>9.5</v>
      </c>
    </row>
    <row r="20" spans="2:22" ht="20.149999999999999" customHeight="1" x14ac:dyDescent="0.45">
      <c r="B20" s="259" t="s">
        <v>2071</v>
      </c>
      <c r="C20" s="212" t="str">
        <f>VLOOKUP(B20,'Sales Master'!A$3:B$537,2,0)</f>
        <v>P6002A</v>
      </c>
      <c r="D20" s="524" t="str">
        <f>VLOOKUP(C20,'Sales Master'!B$3:D$537,2,)</f>
        <v>Skinless Sweet Potato 去皮番薯</v>
      </c>
      <c r="E20" s="524"/>
      <c r="F20" s="524"/>
      <c r="G20" s="76">
        <v>3</v>
      </c>
      <c r="H20" s="209" t="str">
        <f>VLOOKUP(C20,'Sales Master'!$B$3:$F$2420,5,0)</f>
        <v>5 KG</v>
      </c>
      <c r="I20" s="568" t="str">
        <f>VLOOKUP(C20,'Sales Master'!$B$3:$E$2420,4,0)</f>
        <v>Malaysia</v>
      </c>
      <c r="J20" s="568"/>
      <c r="K20" s="83">
        <f>VLOOKUP(C20,'Sales Master'!B$3:CQ$682,94,0)</f>
        <v>17.5</v>
      </c>
      <c r="L20" s="84">
        <f>K20*G20</f>
        <v>52.5</v>
      </c>
      <c r="M20" s="65"/>
      <c r="N20" s="145">
        <f>VLOOKUP(C20,'Sales Master'!$B$3:$DA$2279,104,0)</f>
        <v>9</v>
      </c>
      <c r="O20" s="145">
        <f>K20-N20</f>
        <v>8.5</v>
      </c>
      <c r="P20" s="145">
        <f>O20*G20</f>
        <v>25.5</v>
      </c>
    </row>
    <row r="21" spans="2:22" ht="20.149999999999999" customHeight="1" x14ac:dyDescent="0.45">
      <c r="B21" s="259"/>
      <c r="C21" s="212"/>
      <c r="D21" s="487"/>
      <c r="E21" s="487"/>
      <c r="F21" s="487"/>
      <c r="G21" s="76"/>
      <c r="H21" s="209"/>
      <c r="I21" s="568"/>
      <c r="J21" s="568"/>
      <c r="K21" s="83"/>
      <c r="L21" s="84"/>
      <c r="M21" s="65"/>
      <c r="N21" s="145"/>
      <c r="O21" s="145"/>
      <c r="P21" s="145"/>
    </row>
    <row r="22" spans="2:22" ht="20.149999999999999" customHeight="1" x14ac:dyDescent="0.45">
      <c r="B22" s="259"/>
      <c r="C22" s="212"/>
      <c r="D22" s="524"/>
      <c r="E22" s="524"/>
      <c r="F22" s="524"/>
      <c r="G22" s="76"/>
      <c r="H22" s="209"/>
      <c r="I22" s="568"/>
      <c r="J22" s="568"/>
      <c r="K22" s="83"/>
      <c r="L22" s="84"/>
      <c r="M22" s="65"/>
      <c r="N22" s="145"/>
      <c r="O22" s="145"/>
      <c r="P22" s="145"/>
    </row>
    <row r="23" spans="2:22" ht="20.149999999999999" customHeight="1" x14ac:dyDescent="0.45">
      <c r="B23" s="362"/>
      <c r="C23" s="212"/>
      <c r="D23" s="487"/>
      <c r="E23" s="487"/>
      <c r="F23" s="487"/>
      <c r="G23" s="76"/>
      <c r="H23" s="209"/>
      <c r="I23" s="568"/>
      <c r="J23" s="568"/>
      <c r="K23" s="83"/>
      <c r="L23" s="84"/>
      <c r="M23" s="65"/>
      <c r="N23" s="145"/>
      <c r="O23" s="145"/>
      <c r="P23" s="145"/>
    </row>
    <row r="24" spans="2:22" ht="20.149999999999999" customHeight="1" x14ac:dyDescent="0.45">
      <c r="B24" s="259"/>
      <c r="C24" s="212"/>
      <c r="D24" s="487"/>
      <c r="E24" s="487"/>
      <c r="F24" s="487"/>
      <c r="G24" s="76"/>
      <c r="H24" s="209"/>
      <c r="I24" s="568"/>
      <c r="J24" s="568"/>
      <c r="K24" s="83"/>
      <c r="L24" s="84"/>
      <c r="M24" s="65"/>
      <c r="N24" s="145"/>
      <c r="O24" s="145"/>
      <c r="P24" s="145"/>
    </row>
    <row r="25" spans="2:22" ht="20.149999999999999" customHeight="1" x14ac:dyDescent="0.45">
      <c r="B25" s="259"/>
      <c r="C25" s="212"/>
      <c r="D25" s="487"/>
      <c r="E25" s="487"/>
      <c r="F25" s="487"/>
      <c r="G25" s="76"/>
      <c r="H25" s="209"/>
      <c r="I25" s="568"/>
      <c r="J25" s="568"/>
      <c r="K25" s="83"/>
      <c r="L25" s="84"/>
      <c r="M25" s="65"/>
      <c r="N25" s="145"/>
      <c r="O25" s="145"/>
      <c r="P25" s="145"/>
    </row>
    <row r="26" spans="2:22" ht="20.149999999999999" customHeight="1" x14ac:dyDescent="0.45">
      <c r="B26" s="259"/>
      <c r="C26" s="212"/>
      <c r="D26" s="487"/>
      <c r="E26" s="487"/>
      <c r="F26" s="487"/>
      <c r="G26" s="76"/>
      <c r="H26" s="209"/>
      <c r="I26" s="568"/>
      <c r="J26" s="568"/>
      <c r="K26" s="83"/>
      <c r="L26" s="84"/>
      <c r="M26" s="65"/>
      <c r="N26" s="145"/>
      <c r="O26" s="145"/>
      <c r="P26" s="145"/>
    </row>
    <row r="27" spans="2:22" ht="20.149999999999999" customHeight="1" x14ac:dyDescent="0.45">
      <c r="B27" s="362"/>
      <c r="C27" s="212"/>
      <c r="D27" s="487"/>
      <c r="E27" s="487"/>
      <c r="F27" s="487"/>
      <c r="G27" s="76"/>
      <c r="H27" s="209"/>
      <c r="I27" s="568"/>
      <c r="J27" s="568"/>
      <c r="K27" s="83"/>
      <c r="L27" s="84"/>
      <c r="M27" s="65"/>
      <c r="N27" s="145"/>
      <c r="O27" s="145"/>
      <c r="P27" s="145"/>
    </row>
    <row r="28" spans="2:22" ht="20.149999999999999" customHeight="1" x14ac:dyDescent="0.45">
      <c r="B28" s="259"/>
      <c r="C28" s="212"/>
      <c r="D28" s="487"/>
      <c r="E28" s="487"/>
      <c r="F28" s="487"/>
      <c r="G28" s="76"/>
      <c r="H28" s="209"/>
      <c r="I28" s="568"/>
      <c r="J28" s="568"/>
      <c r="K28" s="83"/>
      <c r="L28" s="84"/>
      <c r="M28" s="65"/>
      <c r="N28" s="145"/>
      <c r="O28" s="145"/>
      <c r="P28" s="145"/>
    </row>
    <row r="29" spans="2:22" ht="20.149999999999999" customHeight="1" x14ac:dyDescent="0.45">
      <c r="B29" s="259"/>
      <c r="C29" s="212"/>
      <c r="D29" s="487"/>
      <c r="E29" s="487"/>
      <c r="F29" s="487"/>
      <c r="G29" s="76"/>
      <c r="H29" s="209"/>
      <c r="I29" s="568"/>
      <c r="J29" s="568"/>
      <c r="K29" s="83"/>
      <c r="L29" s="84"/>
      <c r="M29" s="65"/>
      <c r="N29" s="145"/>
      <c r="O29" s="145"/>
      <c r="P29" s="145"/>
    </row>
    <row r="30" spans="2:22" ht="20.149999999999999" customHeight="1" x14ac:dyDescent="0.45">
      <c r="B30" s="259"/>
      <c r="C30" s="212"/>
      <c r="D30" s="487"/>
      <c r="E30" s="487"/>
      <c r="F30" s="487"/>
      <c r="G30" s="76"/>
      <c r="H30" s="209"/>
      <c r="I30" s="568"/>
      <c r="J30" s="568"/>
      <c r="K30" s="83"/>
      <c r="L30" s="84"/>
      <c r="M30" s="65"/>
      <c r="N30" s="145"/>
      <c r="O30" s="145"/>
      <c r="P30" s="145"/>
    </row>
    <row r="31" spans="2:22" ht="20.149999999999999" customHeight="1" x14ac:dyDescent="0.45">
      <c r="B31" s="58"/>
      <c r="C31" s="212"/>
      <c r="G31" s="76"/>
      <c r="H31" s="209"/>
      <c r="I31" s="183"/>
      <c r="J31" s="183"/>
      <c r="K31" s="83"/>
      <c r="L31" s="84"/>
      <c r="M31" s="65"/>
      <c r="N31" s="145"/>
      <c r="O31" s="145"/>
      <c r="P31" s="145"/>
    </row>
    <row r="32" spans="2:22" ht="20.149999999999999" customHeight="1" thickBot="1" x14ac:dyDescent="0.5">
      <c r="B32" s="47"/>
      <c r="C32" s="48"/>
      <c r="D32" s="48"/>
      <c r="E32" s="48"/>
      <c r="F32" s="48"/>
      <c r="G32" s="48"/>
      <c r="H32" s="48"/>
      <c r="I32" s="48"/>
      <c r="J32" s="48"/>
      <c r="K32" s="48"/>
      <c r="L32" s="49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89" t="s">
        <v>13</v>
      </c>
      <c r="K33" s="490"/>
      <c r="L33" s="38">
        <f>SUM(L18:L32)</f>
        <v>127.5</v>
      </c>
      <c r="M33" s="63">
        <f>SUM(P18:P32)</f>
        <v>75</v>
      </c>
      <c r="N33" s="133">
        <f>M33/L33</f>
        <v>0.58823529411764708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91" t="s">
        <v>19</v>
      </c>
      <c r="K35" s="492"/>
      <c r="L35" s="41">
        <f>L33-L34</f>
        <v>127.5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11.475</v>
      </c>
    </row>
    <row r="37" spans="2:14" ht="20.149999999999999" customHeight="1" thickBot="1" x14ac:dyDescent="0.5">
      <c r="B37" s="10" t="s">
        <v>676</v>
      </c>
      <c r="C37" s="6"/>
      <c r="D37" s="6"/>
      <c r="E37" s="6"/>
      <c r="F37" s="6"/>
      <c r="G37" s="6"/>
      <c r="H37" s="6"/>
      <c r="I37" s="6"/>
      <c r="J37" s="485" t="s">
        <v>21</v>
      </c>
      <c r="K37" s="486"/>
      <c r="L37" s="43">
        <f>L35+L36</f>
        <v>138.97499999999999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144" t="s">
        <v>666</v>
      </c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3">
    <mergeCell ref="J37:K37"/>
    <mergeCell ref="J33:K33"/>
    <mergeCell ref="I25:J25"/>
    <mergeCell ref="I24:J24"/>
    <mergeCell ref="D25:F25"/>
    <mergeCell ref="D24:F24"/>
    <mergeCell ref="J35:K35"/>
    <mergeCell ref="D27:F27"/>
    <mergeCell ref="I27:J27"/>
    <mergeCell ref="I30:J30"/>
    <mergeCell ref="I29:J29"/>
    <mergeCell ref="I26:J26"/>
    <mergeCell ref="I28:J28"/>
    <mergeCell ref="D30:F30"/>
    <mergeCell ref="D29:F29"/>
    <mergeCell ref="D26:F26"/>
    <mergeCell ref="D28:F28"/>
    <mergeCell ref="D17:F17"/>
    <mergeCell ref="I17:J17"/>
    <mergeCell ref="D18:F18"/>
    <mergeCell ref="I18:J18"/>
    <mergeCell ref="D23:F23"/>
    <mergeCell ref="I23:J23"/>
    <mergeCell ref="D22:F22"/>
    <mergeCell ref="I22:J22"/>
    <mergeCell ref="D19:F19"/>
    <mergeCell ref="D20:F20"/>
    <mergeCell ref="I20:J20"/>
    <mergeCell ref="I19:J19"/>
    <mergeCell ref="D21:F21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1" right="0.25" top="0" bottom="0" header="0" footer="0"/>
  <pageSetup paperSize="9" scale="72" orientation="portrait" r:id="rId1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EFDDB-78CF-4004-994A-A717CD527D50}">
  <sheetPr>
    <tabColor rgb="FF7030A0"/>
    <pageSetUpPr fitToPage="1"/>
  </sheetPr>
  <dimension ref="B1:V50"/>
  <sheetViews>
    <sheetView topLeftCell="A31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2" width="12.54296875" style="19" customWidth="1"/>
    <col min="3" max="3" width="11.90625" style="19" customWidth="1"/>
    <col min="4" max="4" width="12.54296875" style="19" customWidth="1"/>
    <col min="5" max="5" width="1.54296875" style="19" customWidth="1"/>
    <col min="6" max="6" width="19.17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2127</v>
      </c>
      <c r="J10" s="24" t="s">
        <v>27</v>
      </c>
      <c r="K10" s="464">
        <v>202504289</v>
      </c>
      <c r="L10" s="465"/>
    </row>
    <row r="11" spans="2:14" ht="20.149999999999999" customHeight="1" x14ac:dyDescent="0.45">
      <c r="B11" s="466" t="s">
        <v>2135</v>
      </c>
      <c r="C11" s="467"/>
      <c r="D11" s="468"/>
      <c r="E11" s="25"/>
      <c r="F11" s="469" t="str">
        <f>VLOOKUP(H10,'Delivery Location'!A$4:N$466,2,0)</f>
        <v>Makan Street                                                  2 Jurong East Street 21, #03-55           IMM Building, Singapore 609601</v>
      </c>
      <c r="G11" s="470"/>
      <c r="H11" s="471"/>
      <c r="J11" s="26" t="s">
        <v>9</v>
      </c>
      <c r="K11" s="478">
        <v>45758</v>
      </c>
      <c r="L11" s="479"/>
    </row>
    <row r="12" spans="2:14" ht="20.149999999999999" customHeight="1" x14ac:dyDescent="0.45">
      <c r="B12" s="480"/>
      <c r="C12" s="453"/>
      <c r="D12" s="481"/>
      <c r="E12" s="25"/>
      <c r="F12" s="472"/>
      <c r="G12" s="473"/>
      <c r="H12" s="474"/>
      <c r="J12" s="26" t="s">
        <v>127</v>
      </c>
      <c r="K12" s="599" t="s">
        <v>2307</v>
      </c>
      <c r="L12" s="483"/>
    </row>
    <row r="13" spans="2:14" ht="20.149999999999999" customHeight="1" x14ac:dyDescent="0.45">
      <c r="B13" s="480" t="s">
        <v>2129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93" t="s">
        <v>859</v>
      </c>
    </row>
    <row r="14" spans="2:14" ht="20.149999999999999" customHeight="1" x14ac:dyDescent="0.45">
      <c r="B14" s="594" t="s">
        <v>2130</v>
      </c>
      <c r="C14" s="595"/>
      <c r="D14" s="596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600" t="s">
        <v>2131</v>
      </c>
      <c r="C15" s="601"/>
      <c r="D15" s="602"/>
      <c r="E15" s="21"/>
      <c r="F15" s="475"/>
      <c r="G15" s="476"/>
      <c r="H15" s="477"/>
      <c r="J15" s="27" t="s">
        <v>11</v>
      </c>
      <c r="K15" s="119" t="s">
        <v>587</v>
      </c>
      <c r="L15" s="118"/>
    </row>
    <row r="16" spans="2:14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" customHeight="1" x14ac:dyDescent="0.45">
      <c r="B18" s="416"/>
      <c r="C18" s="212" t="s">
        <v>837</v>
      </c>
      <c r="D18" s="487" t="str">
        <f>VLOOKUP(C18,'Sales Master'!B$3:D$537,2,)</f>
        <v>Black Glutinous Rice 黑糯米</v>
      </c>
      <c r="E18" s="487"/>
      <c r="F18" s="487"/>
      <c r="G18" s="76">
        <v>1</v>
      </c>
      <c r="H18" s="209" t="str">
        <f>VLOOKUP(C18,'Sales Master'!$B$3:$F$2420,5,0)</f>
        <v>5 KGS</v>
      </c>
      <c r="I18" s="568" t="str">
        <f>VLOOKUP(C18,'Sales Master'!$B$3:$E$2420,4,0)</f>
        <v>-</v>
      </c>
      <c r="J18" s="568"/>
      <c r="K18" s="83">
        <f>VLOOKUP(C18,'Sales Master'!B$3:CR$682,95,0)</f>
        <v>18</v>
      </c>
      <c r="L18" s="84">
        <f t="shared" ref="L18" si="0">K18*G18</f>
        <v>18</v>
      </c>
      <c r="M18" s="65"/>
      <c r="N18" s="19" t="s">
        <v>1496</v>
      </c>
      <c r="V18" s="19">
        <v>6</v>
      </c>
    </row>
    <row r="19" spans="2:22" ht="20.149999999999999" customHeight="1" x14ac:dyDescent="0.45">
      <c r="B19" s="259"/>
      <c r="C19" s="212" t="s">
        <v>873</v>
      </c>
      <c r="D19" s="487" t="str">
        <f>VLOOKUP(C19,'Sales Master'!B$3:D$537,2,)</f>
        <v>Bean Curd Sheet 腐竹</v>
      </c>
      <c r="E19" s="487"/>
      <c r="F19" s="487"/>
      <c r="G19" s="76">
        <v>5</v>
      </c>
      <c r="H19" s="209" t="str">
        <f>VLOOKUP(C19,'Sales Master'!$B$3:$F$2420,5,0)</f>
        <v xml:space="preserve">150g/pkt </v>
      </c>
      <c r="I19" s="568" t="str">
        <f>VLOOKUP(C19,'Sales Master'!$B$3:$E$2420,4,0)</f>
        <v>丰</v>
      </c>
      <c r="J19" s="568"/>
      <c r="K19" s="83">
        <f>VLOOKUP(C19,'Sales Master'!B$3:CR$682,95,0)</f>
        <v>2.8</v>
      </c>
      <c r="L19" s="84">
        <f t="shared" ref="L19" si="1">K19*G19</f>
        <v>14</v>
      </c>
      <c r="M19" s="65"/>
    </row>
    <row r="20" spans="2:22" ht="20.149999999999999" customHeight="1" x14ac:dyDescent="0.45">
      <c r="B20" s="259"/>
      <c r="C20" s="212" t="s">
        <v>1003</v>
      </c>
      <c r="D20" s="487" t="str">
        <f>VLOOKUP(C20,'Sales Master'!B$3:D$537,2,)</f>
        <v>Tapioca木薯</v>
      </c>
      <c r="E20" s="487"/>
      <c r="F20" s="487"/>
      <c r="G20" s="76">
        <v>5</v>
      </c>
      <c r="H20" s="209" t="str">
        <f>VLOOKUP(C20,'Sales Master'!$B$3:$F$2420,5,0)</f>
        <v>1 KG</v>
      </c>
      <c r="I20" s="568" t="str">
        <f>VLOOKUP(C20,'Sales Master'!$B$3:$E$2420,4,0)</f>
        <v>-</v>
      </c>
      <c r="J20" s="568"/>
      <c r="K20" s="83">
        <f>VLOOKUP(C20,'Sales Master'!B$3:CR$682,95,0)</f>
        <v>2.2000000000000002</v>
      </c>
      <c r="L20" s="84">
        <f>K20*G20</f>
        <v>11</v>
      </c>
      <c r="M20" s="65"/>
    </row>
    <row r="21" spans="2:22" ht="20.149999999999999" customHeight="1" x14ac:dyDescent="0.45">
      <c r="B21" s="259"/>
      <c r="C21" s="212" t="s">
        <v>2027</v>
      </c>
      <c r="D21" s="498" t="str">
        <f>VLOOKUP(C21,'Sales Master'!B$3:D$537,2,)</f>
        <v>Skinless Sweet Potato 去皮番薯</v>
      </c>
      <c r="E21" s="498"/>
      <c r="F21" s="498"/>
      <c r="G21" s="76">
        <v>5</v>
      </c>
      <c r="H21" s="209" t="str">
        <f>VLOOKUP(C21,'Sales Master'!$B$3:$F$2420,5,0)</f>
        <v>1 KG</v>
      </c>
      <c r="I21" s="568" t="str">
        <f>VLOOKUP(C21,'Sales Master'!$B$3:$E$2420,4,0)</f>
        <v>Malaysia</v>
      </c>
      <c r="J21" s="568"/>
      <c r="K21" s="83">
        <f>VLOOKUP(C21,'Sales Master'!B$3:CR$682,95,0)</f>
        <v>3.8</v>
      </c>
      <c r="L21" s="84">
        <f>K21*G21</f>
        <v>19</v>
      </c>
      <c r="M21" s="65"/>
    </row>
    <row r="22" spans="2:22" ht="20.149999999999999" customHeight="1" x14ac:dyDescent="0.45">
      <c r="B22" s="259"/>
      <c r="C22" s="212" t="s">
        <v>2163</v>
      </c>
      <c r="D22" s="487" t="str">
        <f>VLOOKUP(C22,'Sales Master'!B$3:D$537,2,)</f>
        <v>Yam Skinless 去皮芋头</v>
      </c>
      <c r="E22" s="487"/>
      <c r="F22" s="487"/>
      <c r="G22" s="76">
        <v>5</v>
      </c>
      <c r="H22" s="209" t="str">
        <f>VLOOKUP(C22,'Sales Master'!$B$3:$F$2420,5,0)</f>
        <v>1 KG</v>
      </c>
      <c r="I22" s="568" t="str">
        <f>VLOOKUP(C22,'Sales Master'!$B$3:$E$2420,4,0)</f>
        <v>Malaysia</v>
      </c>
      <c r="J22" s="568"/>
      <c r="K22" s="83">
        <f>VLOOKUP(C22,'Sales Master'!B$3:CR$682,95,0)</f>
        <v>5</v>
      </c>
      <c r="L22" s="84">
        <f>K22*G22</f>
        <v>25</v>
      </c>
      <c r="M22" s="65"/>
    </row>
    <row r="23" spans="2:22" ht="20.149999999999999" customHeight="1" x14ac:dyDescent="0.45">
      <c r="B23" s="259"/>
      <c r="C23" s="212"/>
      <c r="D23" s="487"/>
      <c r="E23" s="487"/>
      <c r="F23" s="487"/>
      <c r="G23" s="76"/>
      <c r="H23" s="209"/>
      <c r="I23" s="568"/>
      <c r="J23" s="568"/>
      <c r="K23" s="83"/>
      <c r="L23" s="84"/>
      <c r="M23" s="65"/>
    </row>
    <row r="24" spans="2:22" ht="20.149999999999999" customHeight="1" x14ac:dyDescent="0.45">
      <c r="B24" s="259"/>
      <c r="C24" s="212"/>
      <c r="D24" s="487"/>
      <c r="E24" s="487"/>
      <c r="F24" s="487"/>
      <c r="G24" s="76"/>
      <c r="H24" s="209"/>
      <c r="I24" s="568"/>
      <c r="J24" s="568"/>
      <c r="K24" s="83"/>
      <c r="L24" s="84"/>
      <c r="M24" s="65"/>
    </row>
    <row r="25" spans="2:22" ht="20.149999999999999" customHeight="1" x14ac:dyDescent="0.45">
      <c r="B25" s="259"/>
      <c r="C25" s="212"/>
      <c r="D25" s="487"/>
      <c r="E25" s="487"/>
      <c r="F25" s="487"/>
      <c r="G25" s="76"/>
      <c r="H25" s="209"/>
      <c r="I25" s="568"/>
      <c r="J25" s="568"/>
      <c r="K25" s="83"/>
      <c r="L25" s="84"/>
      <c r="M25" s="65"/>
    </row>
    <row r="26" spans="2:22" ht="20.149999999999999" customHeight="1" x14ac:dyDescent="0.45">
      <c r="B26" s="259"/>
      <c r="C26" s="212"/>
      <c r="D26" s="487"/>
      <c r="E26" s="487"/>
      <c r="F26" s="487"/>
      <c r="G26" s="76"/>
      <c r="H26" s="209"/>
      <c r="I26" s="568"/>
      <c r="J26" s="568"/>
      <c r="K26" s="83"/>
      <c r="L26" s="84"/>
      <c r="M26" s="65"/>
    </row>
    <row r="27" spans="2:22" ht="20.149999999999999" customHeight="1" x14ac:dyDescent="0.45">
      <c r="B27" s="259"/>
      <c r="C27" s="212"/>
      <c r="D27" s="487"/>
      <c r="E27" s="487"/>
      <c r="F27" s="487"/>
      <c r="G27" s="76"/>
      <c r="H27" s="209"/>
      <c r="I27" s="568"/>
      <c r="J27" s="568"/>
      <c r="K27" s="83"/>
      <c r="L27" s="84"/>
      <c r="M27" s="65"/>
    </row>
    <row r="28" spans="2:22" ht="20.149999999999999" customHeight="1" x14ac:dyDescent="0.45">
      <c r="B28" s="259"/>
      <c r="C28" s="212"/>
      <c r="D28" s="487"/>
      <c r="E28" s="487"/>
      <c r="F28" s="487"/>
      <c r="G28" s="76"/>
      <c r="H28" s="209"/>
      <c r="I28" s="568"/>
      <c r="J28" s="568"/>
      <c r="K28" s="83"/>
      <c r="L28" s="84"/>
      <c r="M28" s="65"/>
    </row>
    <row r="29" spans="2:22" ht="20.149999999999999" customHeight="1" x14ac:dyDescent="0.45">
      <c r="B29" s="259"/>
      <c r="C29" s="212"/>
      <c r="D29" s="487"/>
      <c r="E29" s="487"/>
      <c r="F29" s="487"/>
      <c r="G29" s="76"/>
      <c r="H29" s="209"/>
      <c r="I29" s="568"/>
      <c r="J29" s="568"/>
      <c r="K29" s="83"/>
      <c r="L29" s="84"/>
      <c r="M29" s="65"/>
    </row>
    <row r="30" spans="2:22" ht="20.149999999999999" customHeight="1" x14ac:dyDescent="0.45">
      <c r="B30" s="259"/>
      <c r="C30" s="212"/>
      <c r="D30" s="498"/>
      <c r="E30" s="498"/>
      <c r="F30" s="498"/>
      <c r="G30" s="76"/>
      <c r="H30" s="209"/>
      <c r="I30" s="568"/>
      <c r="J30" s="568"/>
      <c r="K30" s="83"/>
      <c r="L30" s="84"/>
      <c r="M30" s="65"/>
    </row>
    <row r="31" spans="2:22" ht="20.149999999999999" customHeight="1" x14ac:dyDescent="0.45">
      <c r="B31" s="259"/>
      <c r="C31" s="212"/>
      <c r="D31" s="487"/>
      <c r="E31" s="487"/>
      <c r="F31" s="487"/>
      <c r="G31" s="76"/>
      <c r="H31" s="209"/>
      <c r="I31" s="568"/>
      <c r="J31" s="568"/>
      <c r="K31" s="83"/>
      <c r="L31" s="84"/>
      <c r="M31" s="65"/>
    </row>
    <row r="32" spans="2:22" ht="20.149999999999999" customHeight="1" x14ac:dyDescent="0.45">
      <c r="B32" s="58"/>
      <c r="C32" s="212"/>
      <c r="D32" s="487"/>
      <c r="E32" s="487"/>
      <c r="F32" s="487"/>
      <c r="G32" s="76"/>
      <c r="H32" s="209"/>
      <c r="I32" s="568"/>
      <c r="J32" s="568"/>
      <c r="K32" s="83"/>
      <c r="L32" s="84"/>
      <c r="M32" s="65"/>
    </row>
    <row r="33" spans="2:13" ht="20.149999999999999" customHeight="1" x14ac:dyDescent="0.45">
      <c r="B33" s="259"/>
      <c r="C33" s="212"/>
      <c r="D33" s="487"/>
      <c r="E33" s="487"/>
      <c r="F33" s="487"/>
      <c r="G33" s="76"/>
      <c r="H33" s="209"/>
      <c r="I33" s="568"/>
      <c r="J33" s="568"/>
      <c r="K33" s="83"/>
      <c r="L33" s="84"/>
      <c r="M33" s="65"/>
    </row>
    <row r="34" spans="2:13" ht="20.149999999999999" customHeight="1" x14ac:dyDescent="0.45">
      <c r="B34" s="259"/>
      <c r="C34" s="212"/>
      <c r="D34" s="521"/>
      <c r="E34" s="521"/>
      <c r="F34" s="521"/>
      <c r="G34" s="76"/>
      <c r="H34" s="209"/>
      <c r="I34" s="568"/>
      <c r="J34" s="568"/>
      <c r="K34" s="83"/>
      <c r="L34" s="84"/>
      <c r="M34" s="65"/>
    </row>
    <row r="35" spans="2:13" ht="20.149999999999999" customHeight="1" x14ac:dyDescent="0.45">
      <c r="B35" s="58"/>
      <c r="C35" s="212"/>
      <c r="G35" s="76"/>
      <c r="H35" s="209"/>
      <c r="I35" s="183"/>
      <c r="J35" s="183"/>
      <c r="K35" s="83"/>
      <c r="L35" s="84"/>
      <c r="M35" s="65"/>
    </row>
    <row r="36" spans="2:13" ht="20.149999999999999" customHeight="1" x14ac:dyDescent="0.45">
      <c r="B36" s="58"/>
      <c r="C36" s="212"/>
      <c r="G36" s="76"/>
      <c r="H36" s="209"/>
      <c r="I36" s="183"/>
      <c r="J36" s="183"/>
      <c r="K36" s="83"/>
      <c r="L36" s="84"/>
      <c r="M36" s="65"/>
    </row>
    <row r="37" spans="2:13" ht="20.149999999999999" customHeight="1" thickBot="1" x14ac:dyDescent="0.5">
      <c r="B37" s="47"/>
      <c r="C37" s="48"/>
      <c r="D37" s="48"/>
      <c r="E37" s="48"/>
      <c r="F37" s="48"/>
      <c r="G37" s="48"/>
      <c r="H37" s="48"/>
      <c r="I37" s="48"/>
      <c r="J37" s="48"/>
      <c r="K37" s="48"/>
      <c r="L37" s="49"/>
    </row>
    <row r="38" spans="2:13" ht="20.149999999999999" customHeight="1" x14ac:dyDescent="0.45">
      <c r="B38" s="10" t="s">
        <v>16</v>
      </c>
      <c r="C38" s="6"/>
      <c r="D38" s="6"/>
      <c r="E38" s="6"/>
      <c r="F38" s="6"/>
      <c r="G38" s="6"/>
      <c r="H38" s="6"/>
      <c r="I38" s="6"/>
      <c r="J38" s="489" t="s">
        <v>13</v>
      </c>
      <c r="K38" s="490"/>
      <c r="L38" s="38">
        <f>SUM(L18:L37)</f>
        <v>87</v>
      </c>
      <c r="M38" s="63">
        <f>SUM(P18:P37)</f>
        <v>0</v>
      </c>
    </row>
    <row r="39" spans="2:13" ht="20.149999999999999" customHeight="1" x14ac:dyDescent="0.45">
      <c r="B39" s="10" t="s">
        <v>17</v>
      </c>
      <c r="C39" s="6"/>
      <c r="D39" s="6"/>
      <c r="E39" s="6"/>
      <c r="F39" s="6"/>
      <c r="G39" s="6"/>
      <c r="H39" s="6"/>
      <c r="I39" s="6"/>
      <c r="J39" s="39" t="s">
        <v>20</v>
      </c>
      <c r="K39" s="40"/>
      <c r="L39" s="41">
        <v>0</v>
      </c>
    </row>
    <row r="40" spans="2:13" ht="20.149999999999999" customHeight="1" x14ac:dyDescent="0.45">
      <c r="B40" s="10" t="s">
        <v>18</v>
      </c>
      <c r="C40" s="6"/>
      <c r="D40" s="6"/>
      <c r="E40" s="6"/>
      <c r="F40" s="6"/>
      <c r="G40" s="6"/>
      <c r="H40" s="6"/>
      <c r="I40" s="6"/>
      <c r="J40" s="491" t="s">
        <v>19</v>
      </c>
      <c r="K40" s="492"/>
      <c r="L40" s="41">
        <f>L38-L39</f>
        <v>87</v>
      </c>
    </row>
    <row r="41" spans="2:13" ht="20.149999999999999" customHeight="1" x14ac:dyDescent="0.45">
      <c r="B41" s="10" t="s">
        <v>22</v>
      </c>
      <c r="C41" s="6"/>
      <c r="D41" s="6"/>
      <c r="E41" s="6"/>
      <c r="F41" s="6"/>
      <c r="G41" s="6"/>
      <c r="H41" s="6"/>
      <c r="I41" s="6"/>
      <c r="J41" s="102" t="s">
        <v>15</v>
      </c>
      <c r="K41" s="103">
        <f>'Sales Master'!$B$1</f>
        <v>0.09</v>
      </c>
      <c r="L41" s="42">
        <f>L40*K41</f>
        <v>7.83</v>
      </c>
    </row>
    <row r="42" spans="2:13" ht="20.149999999999999" customHeight="1" thickBot="1" x14ac:dyDescent="0.5">
      <c r="B42" s="10" t="s">
        <v>676</v>
      </c>
      <c r="C42" s="6"/>
      <c r="D42" s="6"/>
      <c r="E42" s="6"/>
      <c r="F42" s="6"/>
      <c r="G42" s="6"/>
      <c r="H42" s="6"/>
      <c r="I42" s="6"/>
      <c r="J42" s="485" t="s">
        <v>21</v>
      </c>
      <c r="K42" s="486"/>
      <c r="L42" s="43">
        <f>L40+L41</f>
        <v>94.83</v>
      </c>
    </row>
    <row r="43" spans="2:13" ht="20.149999999999999" customHeight="1" x14ac:dyDescent="0.45">
      <c r="B43" s="10" t="s">
        <v>24</v>
      </c>
      <c r="C43" s="6"/>
      <c r="D43" s="6"/>
      <c r="E43" s="6"/>
      <c r="F43" s="6"/>
      <c r="G43" s="6"/>
      <c r="H43" s="6"/>
      <c r="I43" s="6"/>
      <c r="L43" s="37"/>
    </row>
    <row r="44" spans="2:13" ht="20.149999999999999" customHeight="1" x14ac:dyDescent="0.45">
      <c r="B44" s="144" t="s">
        <v>666</v>
      </c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44"/>
      <c r="C48" s="45"/>
      <c r="D48" s="45"/>
      <c r="J48" s="45"/>
      <c r="K48" s="45"/>
      <c r="L48" s="46"/>
    </row>
    <row r="49" spans="2:12" ht="20.149999999999999" customHeight="1" x14ac:dyDescent="0.45">
      <c r="B49" s="36" t="s">
        <v>25</v>
      </c>
      <c r="J49" s="19" t="s">
        <v>26</v>
      </c>
      <c r="L49" s="37"/>
    </row>
    <row r="50" spans="2:12" ht="19" thickBot="1" x14ac:dyDescent="0.5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9"/>
    </row>
  </sheetData>
  <mergeCells count="50">
    <mergeCell ref="D20:F20"/>
    <mergeCell ref="I20:J20"/>
    <mergeCell ref="D22:F22"/>
    <mergeCell ref="I31:J31"/>
    <mergeCell ref="I21:J21"/>
    <mergeCell ref="D23:F23"/>
    <mergeCell ref="I25:J25"/>
    <mergeCell ref="D24:F24"/>
    <mergeCell ref="D25:F25"/>
    <mergeCell ref="D31:F31"/>
    <mergeCell ref="D21:F21"/>
    <mergeCell ref="I23:J23"/>
    <mergeCell ref="I24:J24"/>
    <mergeCell ref="D26:F26"/>
    <mergeCell ref="D27:F27"/>
    <mergeCell ref="D28:F28"/>
    <mergeCell ref="B1:L8"/>
    <mergeCell ref="K10:L10"/>
    <mergeCell ref="F11:H15"/>
    <mergeCell ref="K11:L11"/>
    <mergeCell ref="K12:L12"/>
    <mergeCell ref="B13:D13"/>
    <mergeCell ref="K13:L13"/>
    <mergeCell ref="B14:D14"/>
    <mergeCell ref="K14:L14"/>
    <mergeCell ref="B15:D15"/>
    <mergeCell ref="B11:D12"/>
    <mergeCell ref="I17:J17"/>
    <mergeCell ref="D19:F19"/>
    <mergeCell ref="I19:J19"/>
    <mergeCell ref="D17:F17"/>
    <mergeCell ref="J42:K42"/>
    <mergeCell ref="J38:K38"/>
    <mergeCell ref="D33:F33"/>
    <mergeCell ref="I33:J33"/>
    <mergeCell ref="D32:F32"/>
    <mergeCell ref="I32:J32"/>
    <mergeCell ref="J40:K40"/>
    <mergeCell ref="D34:F34"/>
    <mergeCell ref="I34:J34"/>
    <mergeCell ref="I22:J22"/>
    <mergeCell ref="D18:F18"/>
    <mergeCell ref="I18:J18"/>
    <mergeCell ref="D30:F30"/>
    <mergeCell ref="I26:J26"/>
    <mergeCell ref="I27:J27"/>
    <mergeCell ref="I28:J28"/>
    <mergeCell ref="I29:J29"/>
    <mergeCell ref="I30:J30"/>
    <mergeCell ref="D29:F29"/>
  </mergeCells>
  <pageMargins left="0.98425196850393704" right="0.23622047244094491" top="0" bottom="0" header="0" footer="0"/>
  <pageSetup paperSize="9" scale="72" orientation="portrait" r:id="rId1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EE55A-5674-44B7-819D-635A5EA31773}">
  <sheetPr>
    <tabColor rgb="FF7030A0"/>
    <pageSetUpPr fitToPage="1"/>
  </sheetPr>
  <dimension ref="B1:V50"/>
  <sheetViews>
    <sheetView topLeftCell="A29" zoomScaleNormal="100" workbookViewId="0">
      <selection activeCell="I22" sqref="I22:J22"/>
    </sheetView>
  </sheetViews>
  <sheetFormatPr defaultColWidth="12.54296875" defaultRowHeight="18.5" x14ac:dyDescent="0.45"/>
  <cols>
    <col min="1" max="1" width="12.54296875" style="19"/>
    <col min="2" max="2" width="12.54296875" style="19" customWidth="1"/>
    <col min="3" max="3" width="11.90625" style="19" customWidth="1"/>
    <col min="4" max="4" width="12.54296875" style="19" customWidth="1"/>
    <col min="5" max="5" width="1.54296875" style="19" customWidth="1"/>
    <col min="6" max="6" width="19.17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2127</v>
      </c>
      <c r="J10" s="24" t="s">
        <v>27</v>
      </c>
      <c r="K10" s="464">
        <v>202504290</v>
      </c>
      <c r="L10" s="465"/>
    </row>
    <row r="11" spans="2:14" ht="20.149999999999999" customHeight="1" x14ac:dyDescent="0.45">
      <c r="B11" s="466" t="s">
        <v>2135</v>
      </c>
      <c r="C11" s="467"/>
      <c r="D11" s="468"/>
      <c r="E11" s="25"/>
      <c r="F11" s="469" t="str">
        <f>VLOOKUP(H10,'Delivery Location'!A$4:N$466,2,0)</f>
        <v>Makan Street                                                  2 Jurong East Street 21, #03-55           IMM Building, Singapore 609601</v>
      </c>
      <c r="G11" s="470"/>
      <c r="H11" s="471"/>
      <c r="J11" s="26" t="s">
        <v>9</v>
      </c>
      <c r="K11" s="478">
        <v>45758</v>
      </c>
      <c r="L11" s="479"/>
    </row>
    <row r="12" spans="2:14" ht="20.149999999999999" customHeight="1" x14ac:dyDescent="0.45">
      <c r="B12" s="480"/>
      <c r="C12" s="453"/>
      <c r="D12" s="481"/>
      <c r="E12" s="25"/>
      <c r="F12" s="472"/>
      <c r="G12" s="473"/>
      <c r="H12" s="474"/>
      <c r="J12" s="26" t="s">
        <v>127</v>
      </c>
      <c r="K12" s="599" t="s">
        <v>2306</v>
      </c>
      <c r="L12" s="483"/>
    </row>
    <row r="13" spans="2:14" ht="20.149999999999999" customHeight="1" x14ac:dyDescent="0.45">
      <c r="B13" s="480" t="s">
        <v>2129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93" t="s">
        <v>859</v>
      </c>
    </row>
    <row r="14" spans="2:14" ht="20.149999999999999" customHeight="1" x14ac:dyDescent="0.45">
      <c r="B14" s="594" t="s">
        <v>2130</v>
      </c>
      <c r="C14" s="595"/>
      <c r="D14" s="596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600" t="s">
        <v>2131</v>
      </c>
      <c r="C15" s="601"/>
      <c r="D15" s="602"/>
      <c r="E15" s="21"/>
      <c r="F15" s="475"/>
      <c r="G15" s="476"/>
      <c r="H15" s="477"/>
      <c r="J15" s="27" t="s">
        <v>11</v>
      </c>
      <c r="K15" s="119" t="s">
        <v>587</v>
      </c>
      <c r="L15" s="118"/>
    </row>
    <row r="16" spans="2:14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" customHeight="1" x14ac:dyDescent="0.45">
      <c r="B18" s="416"/>
      <c r="C18" s="212" t="s">
        <v>1496</v>
      </c>
      <c r="D18" s="589" t="str">
        <f>VLOOKUP(C18,'Sales Master'!B$3:D$537,2,)</f>
        <v>Split Green Mung Bean (Steamed)  豆爽 (蒸)</v>
      </c>
      <c r="E18" s="589"/>
      <c r="F18" s="589"/>
      <c r="G18" s="76">
        <v>10</v>
      </c>
      <c r="H18" s="209" t="str">
        <f>VLOOKUP(C18,'Sales Master'!$B$3:$F$2420,5,0)</f>
        <v>1 KG</v>
      </c>
      <c r="I18" s="568" t="str">
        <f>VLOOKUP(C18,'Sales Master'!$B$3:$E$2420,4,0)</f>
        <v>DO!</v>
      </c>
      <c r="J18" s="568"/>
      <c r="K18" s="83">
        <f>VLOOKUP(C18,'Sales Master'!B$3:CR$682,95,0)</f>
        <v>4.8</v>
      </c>
      <c r="L18" s="84">
        <f t="shared" ref="L18" si="0">K18*G18</f>
        <v>48</v>
      </c>
      <c r="M18" s="65"/>
      <c r="N18" s="19" t="s">
        <v>1496</v>
      </c>
      <c r="V18" s="19">
        <v>6</v>
      </c>
    </row>
    <row r="19" spans="2:22" ht="20.149999999999999" customHeight="1" x14ac:dyDescent="0.45">
      <c r="B19" s="259"/>
      <c r="C19" s="212"/>
      <c r="D19" s="589"/>
      <c r="E19" s="589"/>
      <c r="F19" s="589"/>
      <c r="G19" s="76"/>
      <c r="H19" s="209"/>
      <c r="I19" s="568"/>
      <c r="J19" s="568"/>
      <c r="K19" s="83"/>
      <c r="L19" s="84"/>
      <c r="M19" s="65"/>
    </row>
    <row r="20" spans="2:22" ht="20.149999999999999" customHeight="1" x14ac:dyDescent="0.45">
      <c r="B20" s="259"/>
      <c r="C20" s="212"/>
      <c r="D20" s="487"/>
      <c r="E20" s="487"/>
      <c r="F20" s="487"/>
      <c r="G20" s="76"/>
      <c r="H20" s="209"/>
      <c r="I20" s="568"/>
      <c r="J20" s="568"/>
      <c r="K20" s="83"/>
      <c r="L20" s="84"/>
      <c r="M20" s="65"/>
    </row>
    <row r="21" spans="2:22" ht="20.149999999999999" customHeight="1" x14ac:dyDescent="0.45">
      <c r="B21" s="259"/>
      <c r="C21" s="212"/>
      <c r="D21" s="487"/>
      <c r="E21" s="487"/>
      <c r="F21" s="487"/>
      <c r="G21" s="76"/>
      <c r="H21" s="209"/>
      <c r="I21" s="568"/>
      <c r="J21" s="568"/>
      <c r="K21" s="83"/>
      <c r="L21" s="84"/>
      <c r="M21" s="65"/>
    </row>
    <row r="22" spans="2:22" ht="20.149999999999999" customHeight="1" x14ac:dyDescent="0.45">
      <c r="B22" s="259"/>
      <c r="C22" s="212"/>
      <c r="D22" s="487"/>
      <c r="E22" s="487"/>
      <c r="F22" s="487"/>
      <c r="G22" s="76"/>
      <c r="H22" s="209"/>
      <c r="I22" s="568"/>
      <c r="J22" s="568"/>
      <c r="K22" s="83"/>
      <c r="L22" s="84"/>
      <c r="M22" s="65"/>
    </row>
    <row r="23" spans="2:22" ht="20.149999999999999" customHeight="1" x14ac:dyDescent="0.45">
      <c r="B23" s="259"/>
      <c r="C23" s="212"/>
      <c r="D23" s="487"/>
      <c r="E23" s="487"/>
      <c r="F23" s="487"/>
      <c r="G23" s="76"/>
      <c r="H23" s="209"/>
      <c r="I23" s="568"/>
      <c r="J23" s="568"/>
      <c r="K23" s="83"/>
      <c r="L23" s="84"/>
      <c r="M23" s="65"/>
    </row>
    <row r="24" spans="2:22" ht="20.149999999999999" customHeight="1" x14ac:dyDescent="0.45">
      <c r="B24" s="259"/>
      <c r="C24" s="212"/>
      <c r="D24" s="487"/>
      <c r="E24" s="487"/>
      <c r="F24" s="487"/>
      <c r="G24" s="76"/>
      <c r="H24" s="209"/>
      <c r="I24" s="568"/>
      <c r="J24" s="568"/>
      <c r="K24" s="83"/>
      <c r="L24" s="84"/>
      <c r="M24" s="65"/>
    </row>
    <row r="25" spans="2:22" ht="20.149999999999999" customHeight="1" x14ac:dyDescent="0.45">
      <c r="B25" s="259"/>
      <c r="C25" s="212"/>
      <c r="D25" s="487"/>
      <c r="E25" s="487"/>
      <c r="F25" s="487"/>
      <c r="G25" s="76"/>
      <c r="H25" s="209"/>
      <c r="I25" s="568"/>
      <c r="J25" s="568"/>
      <c r="K25" s="83"/>
      <c r="L25" s="84"/>
      <c r="M25" s="65"/>
    </row>
    <row r="26" spans="2:22" ht="20.149999999999999" customHeight="1" x14ac:dyDescent="0.45">
      <c r="B26" s="259"/>
      <c r="C26" s="212"/>
      <c r="D26" s="487"/>
      <c r="E26" s="487"/>
      <c r="F26" s="487"/>
      <c r="G26" s="76"/>
      <c r="H26" s="209"/>
      <c r="I26" s="568"/>
      <c r="J26" s="568"/>
      <c r="K26" s="83"/>
      <c r="L26" s="84"/>
      <c r="M26" s="65"/>
    </row>
    <row r="27" spans="2:22" ht="20.149999999999999" customHeight="1" x14ac:dyDescent="0.45">
      <c r="B27" s="259"/>
      <c r="C27" s="212"/>
      <c r="D27" s="487"/>
      <c r="E27" s="487"/>
      <c r="F27" s="487"/>
      <c r="G27" s="76"/>
      <c r="H27" s="209"/>
      <c r="I27" s="568"/>
      <c r="J27" s="568"/>
      <c r="K27" s="83"/>
      <c r="L27" s="84"/>
      <c r="M27" s="65"/>
    </row>
    <row r="28" spans="2:22" ht="20.149999999999999" customHeight="1" x14ac:dyDescent="0.45">
      <c r="B28" s="259"/>
      <c r="C28" s="212"/>
      <c r="D28" s="487"/>
      <c r="E28" s="487"/>
      <c r="F28" s="487"/>
      <c r="G28" s="76"/>
      <c r="H28" s="209"/>
      <c r="I28" s="568"/>
      <c r="J28" s="568"/>
      <c r="K28" s="83"/>
      <c r="L28" s="84"/>
      <c r="M28" s="65"/>
    </row>
    <row r="29" spans="2:22" ht="20.149999999999999" customHeight="1" x14ac:dyDescent="0.45">
      <c r="B29" s="259"/>
      <c r="C29" s="212"/>
      <c r="D29" s="487"/>
      <c r="E29" s="487"/>
      <c r="F29" s="487"/>
      <c r="G29" s="76"/>
      <c r="H29" s="209"/>
      <c r="I29" s="568"/>
      <c r="J29" s="568"/>
      <c r="K29" s="83"/>
      <c r="L29" s="84"/>
      <c r="M29" s="65"/>
    </row>
    <row r="30" spans="2:22" ht="20.149999999999999" customHeight="1" x14ac:dyDescent="0.45">
      <c r="B30" s="259"/>
      <c r="C30" s="212"/>
      <c r="D30" s="498"/>
      <c r="E30" s="498"/>
      <c r="F30" s="498"/>
      <c r="G30" s="76"/>
      <c r="H30" s="209"/>
      <c r="I30" s="568"/>
      <c r="J30" s="568"/>
      <c r="K30" s="83"/>
      <c r="L30" s="84"/>
      <c r="M30" s="65"/>
    </row>
    <row r="31" spans="2:22" ht="20.149999999999999" customHeight="1" x14ac:dyDescent="0.45">
      <c r="B31" s="259"/>
      <c r="C31" s="212"/>
      <c r="D31" s="487"/>
      <c r="E31" s="487"/>
      <c r="F31" s="487"/>
      <c r="G31" s="76"/>
      <c r="H31" s="209"/>
      <c r="I31" s="568"/>
      <c r="J31" s="568"/>
      <c r="K31" s="83"/>
      <c r="L31" s="84"/>
      <c r="M31" s="65"/>
    </row>
    <row r="32" spans="2:22" ht="20.149999999999999" customHeight="1" x14ac:dyDescent="0.45">
      <c r="B32" s="58"/>
      <c r="C32" s="212"/>
      <c r="D32" s="487"/>
      <c r="E32" s="487"/>
      <c r="F32" s="487"/>
      <c r="G32" s="76"/>
      <c r="H32" s="209"/>
      <c r="I32" s="568"/>
      <c r="J32" s="568"/>
      <c r="K32" s="83"/>
      <c r="L32" s="84"/>
      <c r="M32" s="65"/>
    </row>
    <row r="33" spans="2:13" ht="20.149999999999999" customHeight="1" x14ac:dyDescent="0.45">
      <c r="B33" s="259"/>
      <c r="C33" s="212"/>
      <c r="D33" s="487"/>
      <c r="E33" s="487"/>
      <c r="F33" s="487"/>
      <c r="G33" s="76"/>
      <c r="H33" s="209"/>
      <c r="I33" s="568"/>
      <c r="J33" s="568"/>
      <c r="K33" s="83"/>
      <c r="L33" s="84"/>
      <c r="M33" s="65"/>
    </row>
    <row r="34" spans="2:13" ht="20.149999999999999" customHeight="1" x14ac:dyDescent="0.45">
      <c r="B34" s="259"/>
      <c r="C34" s="212"/>
      <c r="D34" s="521"/>
      <c r="E34" s="521"/>
      <c r="F34" s="521"/>
      <c r="G34" s="76"/>
      <c r="H34" s="209"/>
      <c r="I34" s="568"/>
      <c r="J34" s="568"/>
      <c r="K34" s="83"/>
      <c r="L34" s="84"/>
      <c r="M34" s="65"/>
    </row>
    <row r="35" spans="2:13" ht="20.149999999999999" customHeight="1" x14ac:dyDescent="0.45">
      <c r="B35" s="58"/>
      <c r="C35" s="212"/>
      <c r="G35" s="76"/>
      <c r="H35" s="209"/>
      <c r="I35" s="183"/>
      <c r="J35" s="183"/>
      <c r="K35" s="83"/>
      <c r="L35" s="84"/>
      <c r="M35" s="65"/>
    </row>
    <row r="36" spans="2:13" ht="20.149999999999999" customHeight="1" x14ac:dyDescent="0.45">
      <c r="B36" s="58"/>
      <c r="C36" s="212"/>
      <c r="G36" s="76"/>
      <c r="H36" s="209"/>
      <c r="I36" s="183"/>
      <c r="J36" s="183"/>
      <c r="K36" s="83"/>
      <c r="L36" s="84"/>
      <c r="M36" s="65"/>
    </row>
    <row r="37" spans="2:13" ht="20.149999999999999" customHeight="1" thickBot="1" x14ac:dyDescent="0.5">
      <c r="B37" s="47"/>
      <c r="C37" s="48"/>
      <c r="D37" s="48"/>
      <c r="E37" s="48"/>
      <c r="F37" s="48"/>
      <c r="G37" s="48"/>
      <c r="H37" s="48"/>
      <c r="I37" s="48"/>
      <c r="J37" s="48"/>
      <c r="K37" s="48"/>
      <c r="L37" s="49"/>
    </row>
    <row r="38" spans="2:13" ht="20.149999999999999" customHeight="1" x14ac:dyDescent="0.45">
      <c r="B38" s="10" t="s">
        <v>16</v>
      </c>
      <c r="C38" s="6"/>
      <c r="D38" s="6"/>
      <c r="E38" s="6"/>
      <c r="F38" s="6"/>
      <c r="G38" s="6"/>
      <c r="H38" s="6"/>
      <c r="I38" s="6"/>
      <c r="J38" s="489" t="s">
        <v>13</v>
      </c>
      <c r="K38" s="490"/>
      <c r="L38" s="38">
        <f>SUM(L18:L37)</f>
        <v>48</v>
      </c>
      <c r="M38" s="63">
        <f>SUM(P18:P37)</f>
        <v>0</v>
      </c>
    </row>
    <row r="39" spans="2:13" ht="20.149999999999999" customHeight="1" x14ac:dyDescent="0.45">
      <c r="B39" s="10" t="s">
        <v>17</v>
      </c>
      <c r="C39" s="6"/>
      <c r="D39" s="6"/>
      <c r="E39" s="6"/>
      <c r="F39" s="6"/>
      <c r="G39" s="6"/>
      <c r="H39" s="6"/>
      <c r="I39" s="6"/>
      <c r="J39" s="39" t="s">
        <v>20</v>
      </c>
      <c r="K39" s="40"/>
      <c r="L39" s="41">
        <v>0</v>
      </c>
    </row>
    <row r="40" spans="2:13" ht="20.149999999999999" customHeight="1" x14ac:dyDescent="0.45">
      <c r="B40" s="10" t="s">
        <v>18</v>
      </c>
      <c r="C40" s="6"/>
      <c r="D40" s="6"/>
      <c r="E40" s="6"/>
      <c r="F40" s="6"/>
      <c r="G40" s="6"/>
      <c r="H40" s="6"/>
      <c r="I40" s="6"/>
      <c r="J40" s="491" t="s">
        <v>19</v>
      </c>
      <c r="K40" s="492"/>
      <c r="L40" s="41">
        <f>L38-L39</f>
        <v>48</v>
      </c>
    </row>
    <row r="41" spans="2:13" ht="20.149999999999999" customHeight="1" x14ac:dyDescent="0.45">
      <c r="B41" s="10" t="s">
        <v>22</v>
      </c>
      <c r="C41" s="6"/>
      <c r="D41" s="6"/>
      <c r="E41" s="6"/>
      <c r="F41" s="6"/>
      <c r="G41" s="6"/>
      <c r="H41" s="6"/>
      <c r="I41" s="6"/>
      <c r="J41" s="102" t="s">
        <v>15</v>
      </c>
      <c r="K41" s="103">
        <f>'Sales Master'!$B$1</f>
        <v>0.09</v>
      </c>
      <c r="L41" s="42">
        <f>L40*K41</f>
        <v>4.32</v>
      </c>
    </row>
    <row r="42" spans="2:13" ht="20.149999999999999" customHeight="1" thickBot="1" x14ac:dyDescent="0.5">
      <c r="B42" s="10" t="s">
        <v>676</v>
      </c>
      <c r="C42" s="6"/>
      <c r="D42" s="6"/>
      <c r="E42" s="6"/>
      <c r="F42" s="6"/>
      <c r="G42" s="6"/>
      <c r="H42" s="6"/>
      <c r="I42" s="6"/>
      <c r="J42" s="485" t="s">
        <v>21</v>
      </c>
      <c r="K42" s="486"/>
      <c r="L42" s="43">
        <f>L40+L41</f>
        <v>52.32</v>
      </c>
    </row>
    <row r="43" spans="2:13" ht="20.149999999999999" customHeight="1" x14ac:dyDescent="0.45">
      <c r="B43" s="10" t="s">
        <v>24</v>
      </c>
      <c r="C43" s="6"/>
      <c r="D43" s="6"/>
      <c r="E43" s="6"/>
      <c r="F43" s="6"/>
      <c r="G43" s="6"/>
      <c r="H43" s="6"/>
      <c r="I43" s="6"/>
      <c r="L43" s="37"/>
    </row>
    <row r="44" spans="2:13" ht="20.149999999999999" customHeight="1" x14ac:dyDescent="0.45">
      <c r="B44" s="144" t="s">
        <v>666</v>
      </c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44"/>
      <c r="C48" s="45"/>
      <c r="D48" s="45"/>
      <c r="J48" s="45"/>
      <c r="K48" s="45"/>
      <c r="L48" s="46"/>
    </row>
    <row r="49" spans="2:12" ht="20.149999999999999" customHeight="1" x14ac:dyDescent="0.45">
      <c r="B49" s="36" t="s">
        <v>25</v>
      </c>
      <c r="J49" s="19" t="s">
        <v>26</v>
      </c>
      <c r="L49" s="37"/>
    </row>
    <row r="50" spans="2:12" ht="19" thickBot="1" x14ac:dyDescent="0.5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9"/>
    </row>
  </sheetData>
  <mergeCells count="50">
    <mergeCell ref="D31:F31"/>
    <mergeCell ref="I31:J31"/>
    <mergeCell ref="J38:K38"/>
    <mergeCell ref="J40:K40"/>
    <mergeCell ref="J42:K42"/>
    <mergeCell ref="D32:F32"/>
    <mergeCell ref="I32:J32"/>
    <mergeCell ref="D33:F33"/>
    <mergeCell ref="I33:J33"/>
    <mergeCell ref="D34:F34"/>
    <mergeCell ref="I34:J34"/>
    <mergeCell ref="D28:F28"/>
    <mergeCell ref="I28:J28"/>
    <mergeCell ref="D29:F29"/>
    <mergeCell ref="I29:J29"/>
    <mergeCell ref="D30:F30"/>
    <mergeCell ref="I30:J30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I18:J18"/>
    <mergeCell ref="D20:F20"/>
    <mergeCell ref="I20:J20"/>
    <mergeCell ref="D21:F21"/>
    <mergeCell ref="I21:J21"/>
    <mergeCell ref="D19:F19"/>
    <mergeCell ref="I19:J19"/>
    <mergeCell ref="B1:L8"/>
    <mergeCell ref="K10:L10"/>
    <mergeCell ref="B11:D12"/>
    <mergeCell ref="F11:H15"/>
    <mergeCell ref="K11:L11"/>
    <mergeCell ref="K12:L12"/>
    <mergeCell ref="B13:D13"/>
    <mergeCell ref="K13:L13"/>
    <mergeCell ref="B14:D14"/>
    <mergeCell ref="K14:L14"/>
    <mergeCell ref="B15:D15"/>
    <mergeCell ref="D17:F17"/>
    <mergeCell ref="I17:J17"/>
    <mergeCell ref="D18:F18"/>
  </mergeCells>
  <pageMargins left="0.98425196850393704" right="0.23622047244094491" top="0" bottom="0" header="0" footer="0"/>
  <pageSetup paperSize="9" scale="72" orientation="portrait" r:id="rId1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94743-BB75-442C-A927-5A2782254AC3}">
  <sheetPr>
    <tabColor rgb="FF7030A0"/>
    <pageSetUpPr fitToPage="1"/>
  </sheetPr>
  <dimension ref="B1:V46"/>
  <sheetViews>
    <sheetView topLeftCell="A1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4" width="9.6328125" style="19" bestFit="1" customWidth="1"/>
    <col min="15" max="15" width="11.7265625" style="19" bestFit="1" customWidth="1"/>
    <col min="16" max="16" width="12.6328125" style="19" bestFit="1" customWidth="1"/>
    <col min="17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2151</v>
      </c>
      <c r="J10" s="24" t="s">
        <v>27</v>
      </c>
      <c r="K10" s="464">
        <v>202501184</v>
      </c>
      <c r="L10" s="465"/>
    </row>
    <row r="11" spans="2:12" ht="20.149999999999999" customHeight="1" x14ac:dyDescent="0.45">
      <c r="B11" s="466" t="s">
        <v>2119</v>
      </c>
      <c r="C11" s="467"/>
      <c r="D11" s="468"/>
      <c r="E11" s="25"/>
      <c r="F11" s="469" t="str">
        <f>VLOOKUP(H10,'Delivery Location'!A$4:N$466,2,0)</f>
        <v>Hawkers Street Ion@Drinks                        2 Orchard Turn, Ion Orchard               #B4-66, Singapore 238801                 Contact person: Jia Ling 8909 0766</v>
      </c>
      <c r="G11" s="470"/>
      <c r="H11" s="471"/>
      <c r="J11" s="26" t="s">
        <v>9</v>
      </c>
      <c r="K11" s="478">
        <v>45665</v>
      </c>
      <c r="L11" s="479"/>
    </row>
    <row r="12" spans="2:12" ht="20.149999999999999" customHeight="1" x14ac:dyDescent="0.45">
      <c r="B12" s="480" t="s">
        <v>2032</v>
      </c>
      <c r="C12" s="453"/>
      <c r="D12" s="481"/>
      <c r="E12" s="25"/>
      <c r="F12" s="472"/>
      <c r="G12" s="473"/>
      <c r="H12" s="474"/>
      <c r="J12" s="26" t="s">
        <v>127</v>
      </c>
      <c r="K12" s="597" t="s">
        <v>2256</v>
      </c>
      <c r="L12" s="598"/>
    </row>
    <row r="13" spans="2:12" ht="20.149999999999999" customHeight="1" x14ac:dyDescent="0.45">
      <c r="B13" s="594" t="s">
        <v>2033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609</v>
      </c>
      <c r="L13" s="483"/>
    </row>
    <row r="14" spans="2:12" ht="20.149999999999999" customHeight="1" x14ac:dyDescent="0.45">
      <c r="B14" s="480" t="s">
        <v>2034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08"/>
      <c r="C15" s="509"/>
      <c r="D15" s="510"/>
      <c r="E15" s="21"/>
      <c r="F15" s="475"/>
      <c r="G15" s="476"/>
      <c r="H15" s="477"/>
      <c r="J15" s="27" t="s">
        <v>11</v>
      </c>
      <c r="K15" s="119" t="s">
        <v>587</v>
      </c>
      <c r="L15" s="118"/>
    </row>
    <row r="16" spans="2:12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x14ac:dyDescent="0.45">
      <c r="B18" s="259" t="s">
        <v>2231</v>
      </c>
      <c r="C18" s="212" t="str">
        <f>VLOOKUP(B18,'Sales Master'!A$3:B$537,2,0)</f>
        <v>M1016A</v>
      </c>
      <c r="D18" s="487" t="str">
        <f>VLOOKUP(C18,'Sales Master'!B$3:D$537,2,)</f>
        <v>Coconut Sugar Syrup 椰糖浆</v>
      </c>
      <c r="E18" s="487"/>
      <c r="F18" s="487"/>
      <c r="G18" s="76">
        <v>1</v>
      </c>
      <c r="H18" s="399" t="str">
        <f>VLOOKUP(C18,'Sales Master'!$B$3:$F$2420,5,0)</f>
        <v>GW: 5 KG/ Btl支</v>
      </c>
      <c r="I18" s="568" t="str">
        <f>VLOOKUP(C18,'Sales Master'!$B$3:$E$2420,4,0)</f>
        <v>DO!</v>
      </c>
      <c r="J18" s="568"/>
      <c r="K18" s="83">
        <f>VLOOKUP(C18,'Sales Master'!B$3:CQ$682,94,0)</f>
        <v>20</v>
      </c>
      <c r="L18" s="84">
        <f t="shared" ref="L18" si="0">K18*G18</f>
        <v>20</v>
      </c>
      <c r="M18" s="65"/>
      <c r="R18" s="19">
        <v>2</v>
      </c>
      <c r="S18" s="19" t="s">
        <v>34</v>
      </c>
      <c r="T18" s="19" t="s">
        <v>59</v>
      </c>
      <c r="V18" s="19">
        <v>6</v>
      </c>
    </row>
    <row r="19" spans="2:22" ht="20.149999999999999" customHeight="1" x14ac:dyDescent="0.45">
      <c r="B19" s="259" t="s">
        <v>2065</v>
      </c>
      <c r="C19" s="212" t="str">
        <f>VLOOKUP(B19,'Sales Master'!A$3:B$537,2,0)</f>
        <v>P3016A</v>
      </c>
      <c r="D19" s="487" t="str">
        <f>VLOOKUP(C19,'Sales Master'!B$3:D$537,2,)</f>
        <v>Pearl Barley 薏米</v>
      </c>
      <c r="E19" s="487"/>
      <c r="F19" s="487"/>
      <c r="G19" s="76">
        <v>1</v>
      </c>
      <c r="H19" s="396" t="str">
        <f>VLOOKUP(C19,'Sales Master'!$B$3:$F$2420,5,0)</f>
        <v>5 KG</v>
      </c>
      <c r="I19" s="568" t="str">
        <f>VLOOKUP(C19,'Sales Master'!$B$3:$E$2420,4,0)</f>
        <v>-</v>
      </c>
      <c r="J19" s="568"/>
      <c r="K19" s="83">
        <f>VLOOKUP(C19,'Sales Master'!B$3:CQ$682,94,0)</f>
        <v>10</v>
      </c>
      <c r="L19" s="84">
        <f>K19*G19</f>
        <v>10</v>
      </c>
      <c r="M19" s="65"/>
      <c r="N19" s="145"/>
      <c r="O19" s="145"/>
      <c r="P19" s="145"/>
    </row>
    <row r="20" spans="2:22" ht="20.149999999999999" customHeight="1" x14ac:dyDescent="0.45">
      <c r="B20" s="259" t="s">
        <v>2149</v>
      </c>
      <c r="C20" s="212" t="str">
        <f>VLOOKUP(B20,'Sales Master'!A$3:B$537,2,0)</f>
        <v>P4010</v>
      </c>
      <c r="D20" s="487" t="str">
        <f>VLOOKUP(C20,'Sales Master'!B$3:D$537,2,)</f>
        <v>Lychee in Syrup 荔枝</v>
      </c>
      <c r="E20" s="487"/>
      <c r="F20" s="487"/>
      <c r="G20" s="76">
        <v>1</v>
      </c>
      <c r="H20" s="396" t="str">
        <f>VLOOKUP(C20,'Sales Master'!$B$3:$F$2420,5,0)</f>
        <v>12can/箱</v>
      </c>
      <c r="I20" s="568" t="str">
        <f>VLOOKUP(C20,'Sales Master'!$B$3:$E$2420,4,0)</f>
        <v>MiLi</v>
      </c>
      <c r="J20" s="568"/>
      <c r="K20" s="83">
        <f>VLOOKUP(C20,'Sales Master'!B$3:CQ$682,94,0)</f>
        <v>26</v>
      </c>
      <c r="L20" s="84">
        <f>K20*G20</f>
        <v>26</v>
      </c>
      <c r="M20" s="65"/>
    </row>
    <row r="21" spans="2:22" ht="20.149999999999999" customHeight="1" x14ac:dyDescent="0.45">
      <c r="B21" s="259" t="s">
        <v>2077</v>
      </c>
      <c r="C21" s="212" t="str">
        <f>VLOOKUP(B21,'Sales Master'!A$3:B$537,2,0)</f>
        <v>P6008</v>
      </c>
      <c r="D21" s="487" t="str">
        <f>VLOOKUP(C21,'Sales Master'!B$3:D$537,2,)</f>
        <v>Lime 酸甘</v>
      </c>
      <c r="E21" s="487"/>
      <c r="F21" s="487"/>
      <c r="G21" s="76">
        <v>2</v>
      </c>
      <c r="H21" s="396" t="str">
        <f>VLOOKUP(C21,'Sales Master'!$B$3:$F$2420,5,0)</f>
        <v>1 KG</v>
      </c>
      <c r="I21" s="568" t="str">
        <f>VLOOKUP(C21,'Sales Master'!$B$3:$E$2420,4,0)</f>
        <v>-</v>
      </c>
      <c r="J21" s="568"/>
      <c r="K21" s="83">
        <f>VLOOKUP(C21,'Sales Master'!B$3:CQ$682,94,0)</f>
        <v>3</v>
      </c>
      <c r="L21" s="84">
        <f t="shared" ref="L21" si="1">K21*G21</f>
        <v>6</v>
      </c>
      <c r="M21" s="65"/>
    </row>
    <row r="22" spans="2:22" ht="20.149999999999999" customHeight="1" x14ac:dyDescent="0.45">
      <c r="B22" s="259" t="s">
        <v>2257</v>
      </c>
      <c r="C22" s="212" t="str">
        <f>VLOOKUP(B22,'Sales Master'!A$3:B$537,2,0)</f>
        <v>M1037A</v>
      </c>
      <c r="D22" s="487" t="str">
        <f>VLOOKUP(C22,'Sales Master'!B$3:D$537,2,)</f>
        <v>Rock Sugar Syrup 冰糖浆</v>
      </c>
      <c r="E22" s="487"/>
      <c r="F22" s="487"/>
      <c r="G22" s="76">
        <v>1</v>
      </c>
      <c r="H22" s="396" t="str">
        <f>VLOOKUP(C22,'Sales Master'!$B$3:$F$2420,5,0)</f>
        <v>5 KG</v>
      </c>
      <c r="I22" s="568" t="str">
        <f>VLOOKUP(C22,'Sales Master'!$B$3:$E$2420,4,0)</f>
        <v>DO!</v>
      </c>
      <c r="J22" s="568"/>
      <c r="K22" s="83">
        <f>VLOOKUP(C22,'Sales Master'!B$3:CQ$682,94,0)</f>
        <v>11</v>
      </c>
      <c r="L22" s="84">
        <f t="shared" ref="L22" si="2">K22*G22</f>
        <v>11</v>
      </c>
      <c r="M22" s="65"/>
      <c r="N22" s="145"/>
      <c r="O22" s="145"/>
      <c r="P22" s="145"/>
    </row>
    <row r="23" spans="2:22" ht="20.149999999999999" customHeight="1" x14ac:dyDescent="0.45">
      <c r="B23" s="259"/>
      <c r="C23" s="212"/>
      <c r="D23" s="487"/>
      <c r="E23" s="487"/>
      <c r="F23" s="487"/>
      <c r="G23" s="76"/>
      <c r="H23" s="396"/>
      <c r="I23" s="568"/>
      <c r="J23" s="568"/>
      <c r="K23" s="83"/>
      <c r="L23" s="84"/>
      <c r="M23" s="65"/>
      <c r="N23" s="145"/>
      <c r="O23" s="145"/>
      <c r="P23" s="145"/>
    </row>
    <row r="24" spans="2:22" ht="20.149999999999999" customHeight="1" x14ac:dyDescent="0.45">
      <c r="B24" s="259"/>
      <c r="C24" s="212"/>
      <c r="D24" s="556"/>
      <c r="E24" s="556"/>
      <c r="F24" s="556"/>
      <c r="G24" s="76"/>
      <c r="H24" s="399"/>
      <c r="I24" s="568"/>
      <c r="J24" s="568"/>
      <c r="K24" s="83"/>
      <c r="L24" s="84"/>
      <c r="M24" s="65"/>
      <c r="N24" s="145"/>
      <c r="O24" s="145"/>
      <c r="P24" s="145"/>
    </row>
    <row r="25" spans="2:22" ht="20.149999999999999" customHeight="1" x14ac:dyDescent="0.45">
      <c r="B25" s="259"/>
      <c r="C25" s="212"/>
      <c r="D25" s="524"/>
      <c r="E25" s="524"/>
      <c r="F25" s="524"/>
      <c r="G25" s="76"/>
      <c r="H25" s="396"/>
      <c r="I25" s="568"/>
      <c r="J25" s="568"/>
      <c r="K25" s="83"/>
      <c r="L25" s="84"/>
      <c r="M25" s="65"/>
      <c r="N25" s="145"/>
      <c r="O25" s="145"/>
      <c r="P25" s="145"/>
    </row>
    <row r="26" spans="2:22" ht="20.149999999999999" customHeight="1" x14ac:dyDescent="0.45">
      <c r="B26" s="259"/>
      <c r="C26" s="212"/>
      <c r="D26" s="487"/>
      <c r="E26" s="487"/>
      <c r="F26" s="487"/>
      <c r="G26" s="76"/>
      <c r="H26" s="396"/>
      <c r="I26" s="568"/>
      <c r="J26" s="568"/>
      <c r="K26" s="83"/>
      <c r="L26" s="84"/>
      <c r="M26" s="65"/>
      <c r="N26" s="145"/>
      <c r="O26" s="145"/>
      <c r="P26" s="145"/>
    </row>
    <row r="27" spans="2:22" ht="20.149999999999999" customHeight="1" x14ac:dyDescent="0.45">
      <c r="B27" s="259"/>
      <c r="C27" s="212"/>
      <c r="D27" s="487"/>
      <c r="E27" s="487"/>
      <c r="F27" s="487"/>
      <c r="G27" s="76"/>
      <c r="H27" s="396"/>
      <c r="I27" s="568"/>
      <c r="J27" s="568"/>
      <c r="K27" s="83"/>
      <c r="L27" s="84"/>
      <c r="M27" s="65"/>
      <c r="N27" s="145"/>
      <c r="O27" s="145"/>
      <c r="P27" s="145"/>
    </row>
    <row r="28" spans="2:22" ht="20.149999999999999" customHeight="1" x14ac:dyDescent="0.45">
      <c r="B28" s="259"/>
      <c r="C28" s="212"/>
      <c r="D28" s="487"/>
      <c r="E28" s="487"/>
      <c r="F28" s="487"/>
      <c r="G28" s="76"/>
      <c r="H28" s="396"/>
      <c r="I28" s="568"/>
      <c r="J28" s="568"/>
      <c r="K28" s="83"/>
      <c r="L28" s="84"/>
      <c r="M28" s="65"/>
      <c r="N28" s="145"/>
      <c r="O28" s="145"/>
      <c r="P28" s="145"/>
    </row>
    <row r="29" spans="2:22" ht="20.149999999999999" customHeight="1" x14ac:dyDescent="0.45">
      <c r="B29" s="259"/>
      <c r="C29" s="212"/>
      <c r="D29" s="487"/>
      <c r="E29" s="487"/>
      <c r="F29" s="487"/>
      <c r="G29" s="76"/>
      <c r="H29" s="396"/>
      <c r="I29" s="568"/>
      <c r="J29" s="568"/>
      <c r="K29" s="83"/>
      <c r="L29" s="84"/>
      <c r="M29" s="65"/>
      <c r="N29" s="145"/>
      <c r="O29" s="145"/>
      <c r="P29" s="145"/>
    </row>
    <row r="30" spans="2:22" ht="20.149999999999999" customHeight="1" x14ac:dyDescent="0.45">
      <c r="B30" s="259"/>
      <c r="C30" s="212"/>
      <c r="D30" s="487"/>
      <c r="E30" s="487"/>
      <c r="F30" s="487"/>
      <c r="G30" s="76"/>
      <c r="H30" s="209"/>
      <c r="I30" s="568"/>
      <c r="J30" s="568"/>
      <c r="K30" s="83"/>
      <c r="L30" s="84"/>
      <c r="M30" s="65"/>
      <c r="N30" s="145"/>
      <c r="O30" s="145"/>
      <c r="P30" s="145"/>
    </row>
    <row r="31" spans="2:22" ht="20.149999999999999" customHeight="1" x14ac:dyDescent="0.45">
      <c r="B31" s="58"/>
      <c r="C31" s="17"/>
      <c r="G31" s="76"/>
      <c r="H31" s="209"/>
      <c r="I31" s="183"/>
      <c r="J31" s="183"/>
      <c r="K31" s="83"/>
      <c r="L31" s="84"/>
      <c r="M31" s="65"/>
      <c r="N31" s="145"/>
      <c r="O31" s="145"/>
      <c r="P31" s="145"/>
    </row>
    <row r="32" spans="2:22" ht="20.149999999999999" customHeight="1" x14ac:dyDescent="0.45">
      <c r="B32" s="58"/>
      <c r="C32" s="17"/>
      <c r="G32" s="76"/>
      <c r="H32" s="209"/>
      <c r="I32" s="183"/>
      <c r="J32" s="183"/>
      <c r="K32" s="83"/>
      <c r="L32" s="84"/>
      <c r="M32" s="65"/>
      <c r="N32" s="145"/>
      <c r="O32" s="145"/>
      <c r="P32" s="145"/>
    </row>
    <row r="33" spans="2:14" ht="20.149999999999999" customHeight="1" thickBot="1" x14ac:dyDescent="0.5">
      <c r="B33" s="47"/>
      <c r="C33" s="48"/>
      <c r="D33" s="48"/>
      <c r="E33" s="48"/>
      <c r="F33" s="48"/>
      <c r="G33" s="48"/>
      <c r="H33" s="48"/>
      <c r="I33" s="48"/>
      <c r="J33" s="48"/>
      <c r="K33" s="48"/>
      <c r="L33" s="49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89" t="s">
        <v>13</v>
      </c>
      <c r="K34" s="490"/>
      <c r="L34" s="38">
        <f>SUM(L18:L33)</f>
        <v>73</v>
      </c>
      <c r="M34" s="63">
        <f>SUM(P18:P33)</f>
        <v>0</v>
      </c>
      <c r="N34" s="133">
        <f>M34/L34</f>
        <v>0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91" t="s">
        <v>19</v>
      </c>
      <c r="K36" s="492"/>
      <c r="L36" s="41">
        <f>L34-L35</f>
        <v>73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6.5699999999999994</v>
      </c>
    </row>
    <row r="38" spans="2:14" ht="20.149999999999999" customHeight="1" thickBot="1" x14ac:dyDescent="0.5">
      <c r="B38" s="10" t="s">
        <v>676</v>
      </c>
      <c r="C38" s="6"/>
      <c r="D38" s="6"/>
      <c r="E38" s="6"/>
      <c r="F38" s="6"/>
      <c r="G38" s="6"/>
      <c r="H38" s="6"/>
      <c r="I38" s="6"/>
      <c r="J38" s="485" t="s">
        <v>21</v>
      </c>
      <c r="K38" s="486"/>
      <c r="L38" s="43">
        <f>L36+L37</f>
        <v>79.569999999999993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144" t="s">
        <v>666</v>
      </c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43">
    <mergeCell ref="D28:F28"/>
    <mergeCell ref="I28:J28"/>
    <mergeCell ref="J38:K38"/>
    <mergeCell ref="D29:F29"/>
    <mergeCell ref="I29:J29"/>
    <mergeCell ref="D30:F30"/>
    <mergeCell ref="I30:J30"/>
    <mergeCell ref="J34:K34"/>
    <mergeCell ref="J36:K36"/>
    <mergeCell ref="D25:F25"/>
    <mergeCell ref="I25:J25"/>
    <mergeCell ref="D26:F26"/>
    <mergeCell ref="I26:J26"/>
    <mergeCell ref="D27:F27"/>
    <mergeCell ref="I27:J27"/>
    <mergeCell ref="D23:F23"/>
    <mergeCell ref="I23:J23"/>
    <mergeCell ref="D19:F19"/>
    <mergeCell ref="I19:J19"/>
    <mergeCell ref="D24:F24"/>
    <mergeCell ref="I24:J24"/>
    <mergeCell ref="D22:F22"/>
    <mergeCell ref="I22:J22"/>
    <mergeCell ref="D17:F17"/>
    <mergeCell ref="I17:J17"/>
    <mergeCell ref="D18:F18"/>
    <mergeCell ref="I18:J18"/>
    <mergeCell ref="D21:F21"/>
    <mergeCell ref="I21:J21"/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98425196850393704" right="0.23622047244094491" top="0" bottom="0" header="0" footer="0"/>
  <pageSetup paperSize="9" scale="72" orientation="portrait" r:id="rId1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2A82A-33B7-4B61-A10D-C920AD615A00}">
  <sheetPr>
    <tabColor rgb="FFFFC000"/>
    <pageSetUpPr fitToPage="1"/>
  </sheetPr>
  <dimension ref="B1:P42"/>
  <sheetViews>
    <sheetView topLeftCell="A26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5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5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5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5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5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5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5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5" ht="19" thickBot="1" x14ac:dyDescent="0.5">
      <c r="B9" s="18"/>
      <c r="N9" s="19" t="s">
        <v>1309</v>
      </c>
      <c r="O9" s="19" t="s">
        <v>1868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2152</v>
      </c>
      <c r="J10" s="24" t="s">
        <v>27</v>
      </c>
      <c r="K10" s="464">
        <v>202504277</v>
      </c>
      <c r="L10" s="465"/>
      <c r="N10" s="19" t="s">
        <v>730</v>
      </c>
      <c r="O10" s="19" t="s">
        <v>1348</v>
      </c>
    </row>
    <row r="11" spans="2:15" ht="20.149999999999999" customHeight="1" x14ac:dyDescent="0.45">
      <c r="B11" s="466" t="s">
        <v>1306</v>
      </c>
      <c r="C11" s="467"/>
      <c r="D11" s="468"/>
      <c r="E11" s="25"/>
      <c r="F11" s="469" t="str">
        <f>VLOOKUP(H10,'Delivery Location'!A$4:N$466,2,0)</f>
        <v xml:space="preserve">R&amp;B TEA SINGAPORE                                 BLK 127 PLANTATION CRESCENT,        PLANTATION PLAZA #B1-14,                        SINGAPORE 690127 </v>
      </c>
      <c r="G11" s="470"/>
      <c r="H11" s="471"/>
      <c r="J11" s="26" t="s">
        <v>9</v>
      </c>
      <c r="K11" s="478">
        <v>45758</v>
      </c>
      <c r="L11" s="479"/>
      <c r="N11" s="19" t="s">
        <v>1713</v>
      </c>
      <c r="O11" s="19" t="s">
        <v>1869</v>
      </c>
    </row>
    <row r="12" spans="2:15" ht="20.149999999999999" customHeight="1" x14ac:dyDescent="0.45">
      <c r="B12" s="480" t="s">
        <v>1307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19" t="s">
        <v>786</v>
      </c>
      <c r="O12" s="19" t="s">
        <v>224</v>
      </c>
    </row>
    <row r="13" spans="2:15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1740</v>
      </c>
      <c r="O13" s="19" t="s">
        <v>1534</v>
      </c>
    </row>
    <row r="14" spans="2:15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5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730</v>
      </c>
      <c r="D18" s="487" t="str">
        <f>VLOOKUP(C18,'Sales Master'!B$3:D$537,2,)</f>
        <v>Grass Jelly 仙草冻</v>
      </c>
      <c r="E18" s="487"/>
      <c r="F18" s="487"/>
      <c r="G18" s="76">
        <v>4</v>
      </c>
      <c r="H18" s="186" t="str">
        <f>VLOOKUP(C18,'Sales Master'!$B$3:$F$2488,5,0)</f>
        <v>1 KG/ Box盒</v>
      </c>
      <c r="I18" s="484" t="str">
        <f>VLOOKUP(C18,'Sales Master'!$B$3:$E$2488,4,0)</f>
        <v>DO!</v>
      </c>
      <c r="J18" s="484"/>
      <c r="K18" s="30">
        <f>VLOOKUP(C18,'Sales Master'!B$3:AD$537,29,0)</f>
        <v>3.5</v>
      </c>
      <c r="L18" s="64">
        <f>K18*G18</f>
        <v>14</v>
      </c>
      <c r="M18" s="65"/>
      <c r="N18" s="145">
        <f>VLOOKUP(C18,'Sales Master'!$B$3:$DA$2279,104,0)</f>
        <v>1.0900000000000001</v>
      </c>
      <c r="O18" s="145">
        <f>K18-N18</f>
        <v>2.41</v>
      </c>
      <c r="P18" s="145">
        <f>O18*G18</f>
        <v>9.64</v>
      </c>
    </row>
    <row r="19" spans="2:16" ht="20.149999999999999" customHeight="1" x14ac:dyDescent="0.45">
      <c r="B19" s="29"/>
      <c r="C19" s="212" t="s">
        <v>786</v>
      </c>
      <c r="D19" s="487" t="str">
        <f>VLOOKUP(C19,'Sales Master'!B$3:D$537,2,)</f>
        <v>Tapioca Flour 茨粉</v>
      </c>
      <c r="E19" s="487"/>
      <c r="F19" s="487"/>
      <c r="G19" s="76">
        <v>4</v>
      </c>
      <c r="H19" s="186" t="str">
        <f>VLOOKUP(C19,'Sales Master'!$B$3:$F$2488,5,0)</f>
        <v xml:space="preserve">500 GM/pkt </v>
      </c>
      <c r="I19" s="484" t="str">
        <f>VLOOKUP(C19,'Sales Master'!$B$3:$E$2488,4,0)</f>
        <v>F/man 飞人</v>
      </c>
      <c r="J19" s="484"/>
      <c r="K19" s="30">
        <f>VLOOKUP(C19,'Sales Master'!B$3:AD$537,29,0)</f>
        <v>0.8</v>
      </c>
      <c r="L19" s="64">
        <f>K19*G19</f>
        <v>3.2</v>
      </c>
      <c r="M19" s="65"/>
      <c r="N19" s="145">
        <f>VLOOKUP(C19,'Sales Master'!$B$3:$DA$2279,104,0)</f>
        <v>0.62</v>
      </c>
      <c r="O19" s="145">
        <f>K19-N19</f>
        <v>0.18000000000000005</v>
      </c>
      <c r="P19" s="145">
        <f>O19*G19</f>
        <v>0.7200000000000002</v>
      </c>
    </row>
    <row r="20" spans="2:16" ht="20.149999999999999" customHeight="1" x14ac:dyDescent="0.45">
      <c r="B20" s="29"/>
      <c r="C20" s="212" t="s">
        <v>1267</v>
      </c>
      <c r="D20" s="487" t="str">
        <f>VLOOKUP(C20,'Sales Master'!B$3:D$537,2,)</f>
        <v>Rose Petal 玫瑰花瓣</v>
      </c>
      <c r="E20" s="487"/>
      <c r="F20" s="487"/>
      <c r="G20" s="76">
        <v>1</v>
      </c>
      <c r="H20" s="186" t="str">
        <f>VLOOKUP(C20,'Sales Master'!$B$3:$F$2488,5,0)</f>
        <v>50gm</v>
      </c>
      <c r="I20" s="484" t="str">
        <f>VLOOKUP(C20,'Sales Master'!$B$3:$E$2488,4,0)</f>
        <v>-</v>
      </c>
      <c r="J20" s="484"/>
      <c r="K20" s="30">
        <f>VLOOKUP(C20,'Sales Master'!B$3:AD$537,29,0)</f>
        <v>6</v>
      </c>
      <c r="L20" s="64">
        <f>K20*G20</f>
        <v>6</v>
      </c>
      <c r="M20" s="65"/>
      <c r="N20" s="145">
        <f>VLOOKUP(C20,'Sales Master'!$B$3:$DA$2279,104,0)</f>
        <v>6.9</v>
      </c>
      <c r="O20" s="145">
        <f>K20-N20</f>
        <v>-0.90000000000000036</v>
      </c>
      <c r="P20" s="145">
        <f>O20*G20</f>
        <v>-0.90000000000000036</v>
      </c>
    </row>
    <row r="21" spans="2:16" ht="20.149999999999999" customHeight="1" x14ac:dyDescent="0.45">
      <c r="B21" s="29"/>
      <c r="C21" s="212"/>
      <c r="D21" s="487"/>
      <c r="E21" s="487"/>
      <c r="F21" s="487"/>
      <c r="G21" s="76"/>
      <c r="H21" s="186"/>
      <c r="I21" s="484"/>
      <c r="J21" s="484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87"/>
      <c r="E22" s="487"/>
      <c r="F22" s="487"/>
      <c r="G22" s="76"/>
      <c r="H22" s="186"/>
      <c r="I22" s="484"/>
      <c r="J22" s="484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G23" s="76"/>
      <c r="H23" s="186"/>
      <c r="I23" s="208"/>
      <c r="J23" s="208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G24" s="76"/>
      <c r="H24" s="186"/>
      <c r="I24" s="208"/>
      <c r="J24" s="208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87"/>
      <c r="E26" s="487"/>
      <c r="F26" s="487"/>
      <c r="G26" s="76"/>
      <c r="H26" s="165"/>
      <c r="I26" s="494"/>
      <c r="J26" s="494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488"/>
      <c r="E28" s="488"/>
      <c r="F28" s="488"/>
      <c r="G28" s="33"/>
      <c r="H28" s="57"/>
      <c r="I28" s="459"/>
      <c r="J28" s="459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SUM(L14:L26)</f>
        <v>23.2</v>
      </c>
      <c r="M30" s="63">
        <f>SUM(P18:P26)</f>
        <v>9.4600000000000009</v>
      </c>
      <c r="N30" s="133">
        <f>M30/L30</f>
        <v>0.40775862068965524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23.2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2.0880000000000001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25.288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4">
    <mergeCell ref="J32:K32"/>
    <mergeCell ref="J34:K34"/>
    <mergeCell ref="D26:F26"/>
    <mergeCell ref="I26:J26"/>
    <mergeCell ref="D28:F28"/>
    <mergeCell ref="I28:J28"/>
    <mergeCell ref="J30:K30"/>
    <mergeCell ref="D21:F21"/>
    <mergeCell ref="I21:J21"/>
    <mergeCell ref="D22:F22"/>
    <mergeCell ref="I22:J22"/>
    <mergeCell ref="D25:F25"/>
    <mergeCell ref="I25:J25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C2A3E-300A-45C6-B76C-FD170C880E7B}">
  <sheetPr>
    <tabColor rgb="FF7030A0"/>
    <pageSetUpPr fitToPage="1"/>
  </sheetPr>
  <dimension ref="B1:P45"/>
  <sheetViews>
    <sheetView topLeftCell="A28" workbookViewId="0">
      <selection activeCell="G26" sqref="G2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2161</v>
      </c>
      <c r="J10" s="24" t="s">
        <v>27</v>
      </c>
      <c r="K10" s="464">
        <v>202504241</v>
      </c>
      <c r="L10" s="465"/>
    </row>
    <row r="11" spans="2:12" ht="20.149999999999999" customHeight="1" x14ac:dyDescent="0.45">
      <c r="B11" s="466" t="s">
        <v>2165</v>
      </c>
      <c r="C11" s="467"/>
      <c r="D11" s="468"/>
      <c r="E11" s="25"/>
      <c r="F11" s="469" t="str">
        <f>VLOOKUP(H10,'Delivery Location'!A$4:N$466,2,0)</f>
        <v>Woodlands 548 Foodcourt Pte Ltd                   Blk 548 Woodlands Drive 44,            #02-34, Singapore 730548</v>
      </c>
      <c r="G11" s="470"/>
      <c r="H11" s="471"/>
      <c r="J11" s="26" t="s">
        <v>9</v>
      </c>
      <c r="K11" s="478">
        <v>45756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698</v>
      </c>
      <c r="D18" s="549" t="str">
        <f>VLOOKUP(C18,'Sales Master'!B$3:D$537,2,)</f>
        <v xml:space="preserve">Fresh Soursop 红毛榴莲 </v>
      </c>
      <c r="E18" s="549"/>
      <c r="F18" s="549"/>
      <c r="G18" s="17">
        <v>1</v>
      </c>
      <c r="H18" s="85" t="str">
        <f>VLOOKUP(C18,'Sales Master'!$B$3:$F$2488,5,0)</f>
        <v>GW:5 KG/ Tub桶</v>
      </c>
      <c r="I18" s="484" t="str">
        <f>VLOOKUP(C18,'Sales Master'!$B$3:$E$2488,4,0)</f>
        <v>DO!</v>
      </c>
      <c r="J18" s="484"/>
      <c r="K18" s="30">
        <f>VLOOKUP(C18,'Sales Master'!$B$3:$U$537,20,0)</f>
        <v>31</v>
      </c>
      <c r="L18" s="31">
        <f>K18*G18</f>
        <v>31</v>
      </c>
      <c r="N18" s="145">
        <f>VLOOKUP(C18,'Sales Master'!$B$3:$DA$2279,104,0)</f>
        <v>25.63</v>
      </c>
      <c r="O18" s="145">
        <f>K18-N18</f>
        <v>5.370000000000001</v>
      </c>
      <c r="P18" s="145">
        <f>O18*G18</f>
        <v>5.370000000000001</v>
      </c>
    </row>
    <row r="19" spans="2:16" ht="20.149999999999999" customHeight="1" x14ac:dyDescent="0.45">
      <c r="B19" s="29"/>
      <c r="C19" s="212" t="s">
        <v>702</v>
      </c>
      <c r="D19" s="487" t="str">
        <f>VLOOKUP(C19,'Sales Master'!B$3:D$537,2,)</f>
        <v>Durian Puree 榴莲酱</v>
      </c>
      <c r="E19" s="487"/>
      <c r="F19" s="487"/>
      <c r="G19" s="17">
        <v>1</v>
      </c>
      <c r="H19" s="85" t="str">
        <f>VLOOKUP(C19,'Sales Master'!$B$3:$F$2488,5,0)</f>
        <v>1 KG/ Box盒</v>
      </c>
      <c r="I19" s="484" t="str">
        <f>VLOOKUP(C19,'Sales Master'!$B$3:$E$2488,4,0)</f>
        <v>DO!</v>
      </c>
      <c r="J19" s="484"/>
      <c r="K19" s="30">
        <f>VLOOKUP(C19,'Sales Master'!$B$3:$U$537,20,0)</f>
        <v>7</v>
      </c>
      <c r="L19" s="31">
        <f t="shared" ref="L19:L24" si="0">K19*G19</f>
        <v>7</v>
      </c>
      <c r="N19" s="145">
        <f>VLOOKUP(C19,'Sales Master'!$B$3:$DA$2279,104,0)</f>
        <v>4.71</v>
      </c>
      <c r="O19" s="145">
        <f t="shared" ref="O19:O24" si="1">K19-N19</f>
        <v>2.29</v>
      </c>
      <c r="P19" s="145">
        <f t="shared" ref="P19:P24" si="2">O19*G19</f>
        <v>2.29</v>
      </c>
    </row>
    <row r="20" spans="2:16" ht="20.149999999999999" customHeight="1" x14ac:dyDescent="0.45">
      <c r="B20" s="29"/>
      <c r="C20" s="212" t="s">
        <v>703</v>
      </c>
      <c r="D20" s="487" t="str">
        <f>VLOOKUP(C20,'Sales Master'!B$3:D$537,2,)</f>
        <v>Mango Puree 芒果酱</v>
      </c>
      <c r="E20" s="487"/>
      <c r="F20" s="487"/>
      <c r="G20" s="17">
        <v>1</v>
      </c>
      <c r="H20" s="85" t="str">
        <f>VLOOKUP(C20,'Sales Master'!$B$3:$F$2488,5,0)</f>
        <v>1 KG/ Box盒</v>
      </c>
      <c r="I20" s="484" t="str">
        <f>VLOOKUP(C20,'Sales Master'!$B$3:$E$2488,4,0)</f>
        <v>DO!</v>
      </c>
      <c r="J20" s="484"/>
      <c r="K20" s="30">
        <f>VLOOKUP(C20,'Sales Master'!$B$3:$U$537,20,0)</f>
        <v>7</v>
      </c>
      <c r="L20" s="31">
        <f t="shared" si="0"/>
        <v>7</v>
      </c>
      <c r="N20" s="145">
        <f>VLOOKUP(C20,'Sales Master'!$B$3:$DA$2279,104,0)</f>
        <v>2.15</v>
      </c>
      <c r="O20" s="145">
        <f t="shared" si="1"/>
        <v>4.8499999999999996</v>
      </c>
      <c r="P20" s="145">
        <f t="shared" si="2"/>
        <v>4.8499999999999996</v>
      </c>
    </row>
    <row r="21" spans="2:16" ht="20.149999999999999" customHeight="1" x14ac:dyDescent="0.45">
      <c r="B21" s="29"/>
      <c r="C21" s="212" t="s">
        <v>807</v>
      </c>
      <c r="D21" s="487" t="str">
        <f>VLOOKUP(C21,'Sales Master'!B$3:D$537,2,)</f>
        <v>Chin Chow  仙草</v>
      </c>
      <c r="E21" s="487"/>
      <c r="F21" s="487"/>
      <c r="G21" s="17">
        <v>3</v>
      </c>
      <c r="H21" s="85" t="str">
        <f>VLOOKUP(C21,'Sales Master'!$B$3:$F$2488,5,0)</f>
        <v>4 KG/ Pkt包</v>
      </c>
      <c r="I21" s="484" t="str">
        <f>VLOOKUP(C21,'Sales Master'!$B$3:$E$2488,4,0)</f>
        <v>TSM</v>
      </c>
      <c r="J21" s="484"/>
      <c r="K21" s="30">
        <f>VLOOKUP(C21,'Sales Master'!$B$3:$U$537,20,0)</f>
        <v>6</v>
      </c>
      <c r="L21" s="31">
        <f>K21*G21</f>
        <v>18</v>
      </c>
      <c r="N21" s="145">
        <f>VLOOKUP(C21,'Sales Master'!$B$3:$DA$2279,104,0)</f>
        <v>4</v>
      </c>
      <c r="O21" s="145">
        <f>K21-N21</f>
        <v>2</v>
      </c>
      <c r="P21" s="145">
        <f>O21*G21</f>
        <v>6</v>
      </c>
    </row>
    <row r="22" spans="2:16" ht="20.149999999999999" customHeight="1" x14ac:dyDescent="0.45">
      <c r="B22" s="29"/>
      <c r="C22" s="212" t="s">
        <v>966</v>
      </c>
      <c r="D22" s="487" t="str">
        <f>VLOOKUP(C22,'Sales Master'!B$3:D$537,2,)</f>
        <v>Coconut Milk 椰浆</v>
      </c>
      <c r="E22" s="487"/>
      <c r="F22" s="487"/>
      <c r="G22" s="17">
        <v>3</v>
      </c>
      <c r="H22" s="85" t="str">
        <f>VLOOKUP(C22,'Sales Master'!$B$3:$F$2488,5,0)</f>
        <v>(1L x 12bag)/箱</v>
      </c>
      <c r="I22" s="484" t="str">
        <f>VLOOKUP(C22,'Sales Master'!$B$3:$E$2488,4,0)</f>
        <v>Kara UHT</v>
      </c>
      <c r="J22" s="484"/>
      <c r="K22" s="30">
        <f>VLOOKUP(C22,'Sales Master'!$B$3:$U$537,20,0)</f>
        <v>54</v>
      </c>
      <c r="L22" s="31">
        <f>K22*G22</f>
        <v>162</v>
      </c>
      <c r="N22" s="145">
        <f>VLOOKUP(C22,'Sales Master'!$B$3:$DA$2279,104,0)</f>
        <v>35.799999999999997</v>
      </c>
      <c r="O22" s="145">
        <f>K22-N22</f>
        <v>18.200000000000003</v>
      </c>
      <c r="P22" s="145">
        <f>O22*G22</f>
        <v>54.600000000000009</v>
      </c>
    </row>
    <row r="23" spans="2:16" ht="20.149999999999999" customHeight="1" x14ac:dyDescent="0.45">
      <c r="B23" s="29"/>
      <c r="C23" s="212" t="s">
        <v>1009</v>
      </c>
      <c r="D23" s="487" t="str">
        <f>VLOOKUP(C23,'Sales Master'!B$3:D$537,2,)</f>
        <v>Pandan Leaf 班兰叶</v>
      </c>
      <c r="E23" s="487"/>
      <c r="F23" s="487"/>
      <c r="G23" s="17">
        <v>4</v>
      </c>
      <c r="H23" s="85" t="str">
        <f>VLOOKUP(C23,'Sales Master'!$B$3:$F$2488,5,0)</f>
        <v>1 KG</v>
      </c>
      <c r="I23" s="484" t="str">
        <f>VLOOKUP(C23,'Sales Master'!$B$3:$E$2488,4,0)</f>
        <v>-</v>
      </c>
      <c r="J23" s="484"/>
      <c r="K23" s="30">
        <f>VLOOKUP(C23,'Sales Master'!$B$3:$U$537,20,0)</f>
        <v>1.8</v>
      </c>
      <c r="L23" s="31">
        <f t="shared" si="0"/>
        <v>7.2</v>
      </c>
      <c r="N23" s="145">
        <f>VLOOKUP(C23,'Sales Master'!$B$3:$DA$2279,104,0)</f>
        <v>1.1000000000000001</v>
      </c>
      <c r="O23" s="145">
        <f t="shared" si="1"/>
        <v>0.7</v>
      </c>
      <c r="P23" s="145">
        <f t="shared" si="2"/>
        <v>2.8</v>
      </c>
    </row>
    <row r="24" spans="2:16" ht="20.149999999999999" customHeight="1" x14ac:dyDescent="0.45">
      <c r="B24" s="29"/>
      <c r="C24" s="212" t="s">
        <v>1010</v>
      </c>
      <c r="D24" s="487" t="str">
        <f>VLOOKUP(C24,'Sales Master'!B$3:D$537,2,)</f>
        <v>Lime 酸甘</v>
      </c>
      <c r="E24" s="487"/>
      <c r="F24" s="487"/>
      <c r="G24" s="17">
        <v>1</v>
      </c>
      <c r="H24" s="85" t="str">
        <f>VLOOKUP(C24,'Sales Master'!$B$3:$F$2488,5,0)</f>
        <v>1 KG</v>
      </c>
      <c r="I24" s="484" t="str">
        <f>VLOOKUP(C24,'Sales Master'!$B$3:$E$2488,4,0)</f>
        <v>-</v>
      </c>
      <c r="J24" s="484"/>
      <c r="K24" s="30">
        <f>VLOOKUP(C24,'Sales Master'!$B$3:$U$537,20,0)</f>
        <v>2.8</v>
      </c>
      <c r="L24" s="31">
        <f t="shared" si="0"/>
        <v>2.8</v>
      </c>
      <c r="N24" s="145">
        <f>VLOOKUP(C24,'Sales Master'!$B$3:$DA$2279,104,0)</f>
        <v>1.8</v>
      </c>
      <c r="O24" s="145">
        <f t="shared" si="1"/>
        <v>0.99999999999999978</v>
      </c>
      <c r="P24" s="145">
        <f t="shared" si="2"/>
        <v>0.99999999999999978</v>
      </c>
    </row>
    <row r="25" spans="2:16" ht="20.149999999999999" customHeight="1" x14ac:dyDescent="0.45">
      <c r="B25" s="29"/>
      <c r="C25" s="212"/>
      <c r="D25" s="487"/>
      <c r="E25" s="487"/>
      <c r="F25" s="487"/>
      <c r="G25" s="17"/>
      <c r="H25" s="85"/>
      <c r="I25" s="484"/>
      <c r="J25" s="484"/>
      <c r="K25" s="30"/>
      <c r="L25" s="31"/>
      <c r="N25" s="145"/>
      <c r="O25" s="145"/>
      <c r="P25" s="145"/>
    </row>
    <row r="26" spans="2:16" ht="20.149999999999999" customHeight="1" x14ac:dyDescent="0.45">
      <c r="B26" s="29"/>
      <c r="C26" s="212"/>
      <c r="G26" s="17"/>
      <c r="H26" s="85"/>
      <c r="I26" s="208"/>
      <c r="J26" s="208"/>
      <c r="K26" s="30"/>
      <c r="L26" s="31"/>
      <c r="N26" s="145"/>
      <c r="O26" s="145"/>
      <c r="P26" s="145"/>
    </row>
    <row r="27" spans="2:16" ht="20.149999999999999" customHeight="1" x14ac:dyDescent="0.45">
      <c r="B27" s="29"/>
      <c r="C27" s="212"/>
      <c r="G27" s="17"/>
      <c r="H27" s="85"/>
      <c r="I27" s="208"/>
      <c r="J27" s="208"/>
      <c r="K27" s="30"/>
      <c r="L27" s="31"/>
      <c r="N27" s="145"/>
      <c r="O27" s="145"/>
      <c r="P27" s="145"/>
    </row>
    <row r="28" spans="2:16" ht="20.149999999999999" customHeight="1" x14ac:dyDescent="0.45">
      <c r="B28" s="29"/>
      <c r="C28" s="149" t="s">
        <v>2146</v>
      </c>
      <c r="D28" s="403"/>
      <c r="E28" s="403"/>
      <c r="F28" s="403"/>
      <c r="G28" s="76"/>
      <c r="H28" s="186"/>
      <c r="I28" s="484"/>
      <c r="J28" s="484"/>
      <c r="K28" s="190"/>
      <c r="L28" s="31"/>
    </row>
    <row r="29" spans="2:16" ht="20.149999999999999" customHeight="1" x14ac:dyDescent="0.45">
      <c r="B29" s="29"/>
      <c r="C29" s="212" t="s">
        <v>966</v>
      </c>
      <c r="D29" s="498" t="str">
        <f>VLOOKUP(C29,'Sales Master'!B$3:D$537,2,)</f>
        <v>Coconut Milk 椰浆</v>
      </c>
      <c r="E29" s="498"/>
      <c r="F29" s="498"/>
      <c r="G29" s="17">
        <v>1</v>
      </c>
      <c r="H29" s="85" t="str">
        <f>VLOOKUP(C29,'Sales Master'!$B$3:$F$2488,5,0)</f>
        <v>(1L x 12bag)/箱</v>
      </c>
      <c r="I29" s="484" t="str">
        <f>VLOOKUP(C29,'Sales Master'!$B$3:$E$2488,4,0)</f>
        <v>Kara UHT</v>
      </c>
      <c r="J29" s="484"/>
      <c r="K29" s="30">
        <v>54</v>
      </c>
      <c r="L29" s="31"/>
    </row>
    <row r="30" spans="2:16" ht="20.149999999999999" customHeight="1" x14ac:dyDescent="0.45">
      <c r="B30" s="29"/>
      <c r="C30" s="17"/>
      <c r="D30" s="487"/>
      <c r="E30" s="487"/>
      <c r="F30" s="487"/>
      <c r="G30" s="17"/>
      <c r="H30" s="17"/>
      <c r="I30" s="17"/>
      <c r="J30" s="17"/>
      <c r="K30" s="30"/>
      <c r="L30" s="31"/>
    </row>
    <row r="31" spans="2:16" ht="20.149999999999999" customHeight="1" thickBot="1" x14ac:dyDescent="0.5">
      <c r="B31" s="32"/>
      <c r="C31" s="33"/>
      <c r="D31" s="488"/>
      <c r="E31" s="488"/>
      <c r="F31" s="488"/>
      <c r="G31" s="33"/>
      <c r="H31" s="33"/>
      <c r="I31" s="33"/>
      <c r="J31" s="33"/>
      <c r="K31" s="34"/>
      <c r="L31" s="35"/>
    </row>
    <row r="32" spans="2:16" ht="20.149999999999999" customHeight="1" thickBot="1" x14ac:dyDescent="0.5">
      <c r="B32" s="36"/>
      <c r="L32" s="37"/>
    </row>
    <row r="33" spans="2:13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89" t="s">
        <v>13</v>
      </c>
      <c r="K33" s="490"/>
      <c r="L33" s="38">
        <f>SUM(L17:L31)</f>
        <v>235</v>
      </c>
      <c r="M33" s="63">
        <f>SUM(P18:P23)-L33*0.02</f>
        <v>71.210000000000008</v>
      </c>
    </row>
    <row r="34" spans="2:13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3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91" t="s">
        <v>19</v>
      </c>
      <c r="K35" s="492"/>
      <c r="L35" s="41">
        <f>L33-L34</f>
        <v>235</v>
      </c>
    </row>
    <row r="36" spans="2:13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21.15</v>
      </c>
    </row>
    <row r="37" spans="2:13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85" t="s">
        <v>21</v>
      </c>
      <c r="K37" s="486"/>
      <c r="L37" s="43">
        <f>L35+L36</f>
        <v>256.14999999999998</v>
      </c>
    </row>
    <row r="38" spans="2:13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3" ht="20.149999999999999" customHeight="1" x14ac:dyDescent="0.45">
      <c r="B39" s="36"/>
      <c r="L39" s="37"/>
    </row>
    <row r="40" spans="2:13" ht="20.149999999999999" customHeight="1" x14ac:dyDescent="0.45">
      <c r="B40" s="3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44"/>
      <c r="C43" s="45"/>
      <c r="D43" s="45"/>
      <c r="J43" s="45"/>
      <c r="K43" s="45"/>
      <c r="L43" s="46"/>
    </row>
    <row r="44" spans="2:13" ht="20.149999999999999" customHeight="1" x14ac:dyDescent="0.45">
      <c r="B44" s="36" t="s">
        <v>25</v>
      </c>
      <c r="J44" s="19" t="s">
        <v>26</v>
      </c>
      <c r="L44" s="37"/>
    </row>
    <row r="45" spans="2:13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3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8:J18"/>
    <mergeCell ref="D17:F17"/>
    <mergeCell ref="I17:J17"/>
    <mergeCell ref="I22:J22"/>
    <mergeCell ref="I20:J20"/>
    <mergeCell ref="I19:J19"/>
    <mergeCell ref="D18:F18"/>
    <mergeCell ref="D19:F19"/>
    <mergeCell ref="D20:F20"/>
    <mergeCell ref="D22:F22"/>
    <mergeCell ref="I21:J21"/>
    <mergeCell ref="D21:F21"/>
    <mergeCell ref="J37:K37"/>
    <mergeCell ref="D29:F29"/>
    <mergeCell ref="D30:F30"/>
    <mergeCell ref="D31:F31"/>
    <mergeCell ref="J33:K33"/>
    <mergeCell ref="J35:K35"/>
    <mergeCell ref="D24:F24"/>
    <mergeCell ref="I24:J24"/>
    <mergeCell ref="I28:J28"/>
    <mergeCell ref="I29:J29"/>
    <mergeCell ref="I23:J23"/>
    <mergeCell ref="D23:F23"/>
    <mergeCell ref="D25:F25"/>
    <mergeCell ref="I25:J25"/>
  </mergeCells>
  <conditionalFormatting sqref="C28">
    <cfRule type="duplicateValues" dxfId="44" priority="1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BDF38-C91A-42D1-BF2E-A68C7F3F324B}">
  <sheetPr>
    <tabColor rgb="FF7030A0"/>
    <pageSetUpPr fitToPage="1"/>
  </sheetPr>
  <dimension ref="B1:P44"/>
  <sheetViews>
    <sheetView topLeftCell="A2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2170</v>
      </c>
      <c r="J10" s="24" t="s">
        <v>27</v>
      </c>
      <c r="K10" s="464">
        <v>202411297</v>
      </c>
      <c r="L10" s="465"/>
    </row>
    <row r="11" spans="2:12" ht="20.149999999999999" customHeight="1" x14ac:dyDescent="0.45">
      <c r="B11" s="466"/>
      <c r="C11" s="467"/>
      <c r="D11" s="468"/>
      <c r="E11" s="25"/>
      <c r="F11" s="469" t="str">
        <f>VLOOKUP(H10,'Delivery Location'!A$4:N$466,2,0)</f>
        <v>Kenny Wong     Mobile: 8732 2999                   51 Yishun Avenue 11, Yishun Park Hawker Centre #01-23, Singapore 768867</v>
      </c>
      <c r="G11" s="470"/>
      <c r="H11" s="471"/>
      <c r="J11" s="26" t="s">
        <v>9</v>
      </c>
      <c r="K11" s="478">
        <v>45609</v>
      </c>
      <c r="L11" s="479"/>
    </row>
    <row r="12" spans="2:12" ht="20.149999999999999" customHeight="1" x14ac:dyDescent="0.45">
      <c r="B12" s="480"/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/>
      <c r="C13" s="453"/>
      <c r="D13" s="481"/>
      <c r="E13" s="25"/>
      <c r="F13" s="472"/>
      <c r="G13" s="473"/>
      <c r="H13" s="474"/>
      <c r="J13" s="26" t="s">
        <v>10</v>
      </c>
      <c r="K13" s="482" t="s">
        <v>451</v>
      </c>
      <c r="L13" s="483"/>
    </row>
    <row r="14" spans="2:12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/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713</v>
      </c>
      <c r="D18" s="487" t="str">
        <f>VLOOKUP(C18,'Sales Master'!B$3:D$537,2,)</f>
        <v>Chendol 浆咯</v>
      </c>
      <c r="E18" s="487"/>
      <c r="F18" s="487"/>
      <c r="G18" s="17">
        <v>3</v>
      </c>
      <c r="H18" s="413" t="str">
        <f>VLOOKUP(C18,'Sales Master'!$B$3:$F$2488,5,0)</f>
        <v>NW(2.2:0.8) 3kg/ Pkt包</v>
      </c>
      <c r="I18" s="484" t="str">
        <f>VLOOKUP(C18,'Sales Master'!$B$3:$E$2488,4,0)</f>
        <v>DO!</v>
      </c>
      <c r="J18" s="484"/>
      <c r="K18" s="30">
        <f>VLOOKUP(C18,'Sales Master'!$B$3:$V$537,21,0)</f>
        <v>7</v>
      </c>
      <c r="L18" s="31">
        <f>K18*G18</f>
        <v>21</v>
      </c>
      <c r="N18" s="145">
        <f>VLOOKUP(C18,'Sales Master'!$B$3:$DA$2279,104,0)</f>
        <v>2.44</v>
      </c>
      <c r="O18" s="145">
        <f>K18-N18</f>
        <v>4.5600000000000005</v>
      </c>
      <c r="P18" s="145">
        <f>O18*G18</f>
        <v>13.680000000000001</v>
      </c>
    </row>
    <row r="19" spans="2:16" ht="20.149999999999999" customHeight="1" x14ac:dyDescent="0.45">
      <c r="B19" s="29"/>
      <c r="C19" s="212" t="s">
        <v>702</v>
      </c>
      <c r="D19" s="521" t="str">
        <f>VLOOKUP(C19,'Sales Master'!B$3:D$537,2,)</f>
        <v>Durian Puree 榴莲酱</v>
      </c>
      <c r="E19" s="521"/>
      <c r="F19" s="521"/>
      <c r="G19" s="17">
        <v>1</v>
      </c>
      <c r="H19" s="85" t="str">
        <f>VLOOKUP(C19,'Sales Master'!$B$3:$F$2488,5,0)</f>
        <v>1 KG/ Box盒</v>
      </c>
      <c r="I19" s="484" t="str">
        <f>VLOOKUP(C19,'Sales Master'!$B$3:$E$2488,4,0)</f>
        <v>DO!</v>
      </c>
      <c r="J19" s="484"/>
      <c r="K19" s="30">
        <f>VLOOKUP(C19,'Sales Master'!$B$3:$V$537,21,0)</f>
        <v>10</v>
      </c>
      <c r="L19" s="31">
        <f t="shared" ref="L19" si="0">K19*G19</f>
        <v>10</v>
      </c>
      <c r="N19" s="145">
        <f>VLOOKUP(C19,'Sales Master'!$B$3:$DA$2279,104,0)</f>
        <v>4.71</v>
      </c>
      <c r="O19" s="145">
        <f t="shared" ref="O19" si="1">K19-N19</f>
        <v>5.29</v>
      </c>
      <c r="P19" s="145">
        <f t="shared" ref="P19" si="2">O19*G19</f>
        <v>5.29</v>
      </c>
    </row>
    <row r="20" spans="2:16" ht="20.149999999999999" customHeight="1" x14ac:dyDescent="0.45">
      <c r="B20" s="29"/>
      <c r="C20" s="212" t="s">
        <v>712</v>
      </c>
      <c r="D20" s="497" t="str">
        <f>VLOOKUP(C20,'Sales Master'!B$3:D$537,2,)</f>
        <v>Bobo ChaCha Cubes 摩摩喳喳</v>
      </c>
      <c r="E20" s="497"/>
      <c r="F20" s="497"/>
      <c r="G20" s="17">
        <v>1</v>
      </c>
      <c r="H20" s="85" t="str">
        <f>VLOOKUP(C20,'Sales Master'!$B$3:$F$2488,5,0)</f>
        <v>800 GM/ Bag包</v>
      </c>
      <c r="I20" s="484" t="str">
        <f>VLOOKUP(C20,'Sales Master'!$B$3:$E$2488,4,0)</f>
        <v>DO!</v>
      </c>
      <c r="J20" s="484"/>
      <c r="K20" s="30">
        <f>VLOOKUP(C20,'Sales Master'!$B$3:$V$537,21,0)</f>
        <v>8</v>
      </c>
      <c r="L20" s="31">
        <f>K20*G20</f>
        <v>8</v>
      </c>
      <c r="N20" s="145">
        <f>VLOOKUP(C20,'Sales Master'!$B$3:$DA$2279,104,0)</f>
        <v>0.89</v>
      </c>
      <c r="O20" s="145">
        <f>K20-N20</f>
        <v>7.11</v>
      </c>
      <c r="P20" s="145">
        <f>O20*G20</f>
        <v>7.11</v>
      </c>
    </row>
    <row r="21" spans="2:16" ht="20.149999999999999" customHeight="1" x14ac:dyDescent="0.45">
      <c r="B21" s="29"/>
      <c r="C21" s="212"/>
      <c r="D21" s="487"/>
      <c r="E21" s="487"/>
      <c r="F21" s="487"/>
      <c r="G21" s="17"/>
      <c r="H21" s="85"/>
      <c r="I21" s="484"/>
      <c r="J21" s="484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2"/>
      <c r="D22" s="487"/>
      <c r="E22" s="487"/>
      <c r="F22" s="487"/>
      <c r="G22" s="17"/>
      <c r="H22" s="85"/>
      <c r="I22" s="484"/>
      <c r="J22" s="484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2"/>
      <c r="D23" s="487"/>
      <c r="E23" s="487"/>
      <c r="F23" s="487"/>
      <c r="G23" s="17"/>
      <c r="H23" s="85"/>
      <c r="I23" s="484"/>
      <c r="J23" s="484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212"/>
      <c r="G24" s="17"/>
      <c r="H24" s="85"/>
      <c r="I24" s="208"/>
      <c r="J24" s="208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212"/>
      <c r="G25" s="17"/>
      <c r="H25" s="85"/>
      <c r="I25" s="208"/>
      <c r="J25" s="208"/>
      <c r="K25" s="30"/>
      <c r="L25" s="31"/>
      <c r="N25" s="145"/>
      <c r="O25" s="145"/>
      <c r="P25" s="145"/>
    </row>
    <row r="26" spans="2:16" ht="20.149999999999999" customHeight="1" x14ac:dyDescent="0.45">
      <c r="B26" s="29"/>
      <c r="C26" s="212"/>
      <c r="D26" s="487"/>
      <c r="E26" s="487"/>
      <c r="F26" s="487"/>
      <c r="G26" s="17"/>
      <c r="H26" s="85"/>
      <c r="I26" s="484"/>
      <c r="J26" s="484"/>
      <c r="K26" s="30"/>
      <c r="L26" s="31"/>
      <c r="N26" s="145"/>
      <c r="O26" s="145"/>
      <c r="P26" s="145"/>
    </row>
    <row r="27" spans="2:16" ht="20.149999999999999" customHeight="1" x14ac:dyDescent="0.45">
      <c r="B27" s="29"/>
      <c r="C27" s="17"/>
      <c r="D27" s="487"/>
      <c r="E27" s="487"/>
      <c r="F27" s="487"/>
      <c r="G27" s="17"/>
      <c r="H27" s="56"/>
      <c r="I27" s="17"/>
      <c r="J27" s="17"/>
      <c r="K27" s="30"/>
      <c r="L27" s="31"/>
    </row>
    <row r="28" spans="2:16" ht="20.149999999999999" customHeight="1" x14ac:dyDescent="0.45">
      <c r="B28" s="29"/>
      <c r="C28" s="17"/>
      <c r="D28" s="487"/>
      <c r="E28" s="487"/>
      <c r="F28" s="487"/>
      <c r="G28" s="17"/>
      <c r="H28" s="56"/>
      <c r="I28" s="56"/>
      <c r="J28" s="17"/>
      <c r="K28" s="30"/>
      <c r="L28" s="31"/>
    </row>
    <row r="29" spans="2:16" ht="20.149999999999999" customHeight="1" x14ac:dyDescent="0.45">
      <c r="B29" s="29"/>
      <c r="C29" s="17"/>
      <c r="D29" s="487"/>
      <c r="E29" s="487"/>
      <c r="F29" s="487"/>
      <c r="G29" s="17"/>
      <c r="H29" s="17"/>
      <c r="I29" s="17"/>
      <c r="J29" s="17"/>
      <c r="K29" s="30"/>
      <c r="L29" s="31"/>
    </row>
    <row r="30" spans="2:16" ht="20.149999999999999" customHeight="1" thickBot="1" x14ac:dyDescent="0.5">
      <c r="B30" s="32"/>
      <c r="C30" s="33"/>
      <c r="D30" s="488"/>
      <c r="E30" s="488"/>
      <c r="F30" s="488"/>
      <c r="G30" s="33"/>
      <c r="H30" s="33"/>
      <c r="I30" s="33"/>
      <c r="J30" s="33"/>
      <c r="K30" s="34"/>
      <c r="L30" s="35"/>
    </row>
    <row r="31" spans="2:16" ht="20.149999999999999" customHeight="1" thickBot="1" x14ac:dyDescent="0.5">
      <c r="B31" s="36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89" t="s">
        <v>13</v>
      </c>
      <c r="K32" s="490"/>
      <c r="L32" s="38">
        <f>SUM(L17:L30)</f>
        <v>39</v>
      </c>
      <c r="M32" s="63">
        <f>SUM(P18:P23)-L32*0.02</f>
        <v>25.3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91" t="s">
        <v>19</v>
      </c>
      <c r="K34" s="492"/>
      <c r="L34" s="41">
        <f>L32-L33</f>
        <v>39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3.51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85" t="s">
        <v>21</v>
      </c>
      <c r="K36" s="486"/>
      <c r="L36" s="43">
        <f>L34+L35</f>
        <v>42.51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0:F20"/>
    <mergeCell ref="I20:J20"/>
    <mergeCell ref="D19:F19"/>
    <mergeCell ref="I19:J19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6:F26"/>
    <mergeCell ref="I26:J26"/>
    <mergeCell ref="J36:K36"/>
    <mergeCell ref="D27:F27"/>
    <mergeCell ref="D28:F28"/>
    <mergeCell ref="D29:F29"/>
    <mergeCell ref="D30:F30"/>
    <mergeCell ref="J32:K32"/>
    <mergeCell ref="J34:K34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4034C-F4D0-497D-B22D-E6D3D0C819F6}">
  <sheetPr>
    <tabColor rgb="FF7030A0"/>
    <pageSetUpPr fitToPage="1"/>
  </sheetPr>
  <dimension ref="B1:V44"/>
  <sheetViews>
    <sheetView topLeftCell="A9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7" width="12.54296875" style="179"/>
    <col min="18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2180</v>
      </c>
      <c r="J10" s="24" t="s">
        <v>27</v>
      </c>
      <c r="K10" s="464">
        <v>202411194</v>
      </c>
      <c r="L10" s="465"/>
    </row>
    <row r="11" spans="2:12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 xml:space="preserve">FOOD REPUBLIC PTE LTD                        Wisma Atria Orchard@Drink Stall.          435 Orchard Road #04-02                Wisma Atria, Singapore 238877                           </v>
      </c>
      <c r="G11" s="470"/>
      <c r="H11" s="471"/>
      <c r="J11" s="26" t="s">
        <v>9</v>
      </c>
      <c r="K11" s="478">
        <v>45604</v>
      </c>
      <c r="L11" s="479"/>
    </row>
    <row r="12" spans="2:12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180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/>
      <c r="C18" s="212" t="s">
        <v>807</v>
      </c>
      <c r="D18" s="487" t="str">
        <f>VLOOKUP(C18,'Sales Master'!B$3:D$537,2,)</f>
        <v>Chin Chow  仙草</v>
      </c>
      <c r="E18" s="487"/>
      <c r="F18" s="487"/>
      <c r="G18" s="76">
        <v>12</v>
      </c>
      <c r="H18" s="183" t="str">
        <f>VLOOKUP(C18,'Sales Master'!$B$3:$F$2420,5,0)</f>
        <v>4 KG/ Pkt包</v>
      </c>
      <c r="I18" s="513" t="str">
        <f>VLOOKUP(C18,'Sales Master'!$B$3:$E$2420,4,0)</f>
        <v>TSM</v>
      </c>
      <c r="J18" s="513"/>
      <c r="K18" s="83">
        <f>VLOOKUP(C18,'Sales Master'!B$3:I$537,8,0)</f>
        <v>6</v>
      </c>
      <c r="L18" s="84">
        <f>K18*G18</f>
        <v>72</v>
      </c>
      <c r="N18" s="145">
        <f>VLOOKUP(C18,'Sales Master'!$B$3:$DA$2279,104,0)</f>
        <v>4</v>
      </c>
      <c r="O18" s="145">
        <f>K18-N18</f>
        <v>2</v>
      </c>
      <c r="P18" s="145">
        <f>O18*G18</f>
        <v>24</v>
      </c>
      <c r="Q18" s="181"/>
      <c r="R18" s="93">
        <v>1</v>
      </c>
      <c r="S18" s="93" t="s">
        <v>200</v>
      </c>
      <c r="T18" s="93" t="s">
        <v>429</v>
      </c>
      <c r="U18" s="93"/>
      <c r="V18" s="93">
        <v>32</v>
      </c>
    </row>
    <row r="19" spans="2:22" ht="20.149999999999999" customHeight="1" x14ac:dyDescent="0.45">
      <c r="B19" s="58"/>
      <c r="C19" s="212"/>
      <c r="D19" s="487"/>
      <c r="E19" s="487"/>
      <c r="F19" s="487"/>
      <c r="G19" s="76"/>
      <c r="H19" s="183"/>
      <c r="I19" s="513"/>
      <c r="J19" s="513"/>
      <c r="K19" s="83"/>
      <c r="L19" s="84"/>
      <c r="N19" s="145"/>
      <c r="O19" s="145"/>
      <c r="P19" s="145"/>
      <c r="Q19" s="181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87"/>
      <c r="E20" s="487"/>
      <c r="F20" s="487"/>
      <c r="G20" s="76"/>
      <c r="H20" s="82"/>
      <c r="I20" s="447"/>
      <c r="J20" s="447"/>
      <c r="K20" s="83"/>
      <c r="L20" s="96"/>
    </row>
    <row r="21" spans="2:22" ht="20.149999999999999" customHeight="1" x14ac:dyDescent="0.45">
      <c r="B21" s="29"/>
      <c r="C21" s="17"/>
      <c r="D21" s="487"/>
      <c r="E21" s="487"/>
      <c r="F21" s="487"/>
      <c r="G21" s="76"/>
      <c r="H21" s="56"/>
      <c r="I21" s="494"/>
      <c r="J21" s="494"/>
      <c r="K21" s="30"/>
      <c r="L21" s="31"/>
    </row>
    <row r="22" spans="2:22" ht="20.149999999999999" customHeight="1" x14ac:dyDescent="0.45">
      <c r="B22" s="29"/>
      <c r="C22" s="17"/>
      <c r="D22" s="487"/>
      <c r="E22" s="487"/>
      <c r="F22" s="487"/>
      <c r="G22" s="76"/>
      <c r="H22" s="56"/>
      <c r="I22" s="494"/>
      <c r="J22" s="494"/>
      <c r="K22" s="30"/>
      <c r="L22" s="31"/>
    </row>
    <row r="23" spans="2:22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31"/>
    </row>
    <row r="24" spans="2:22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31"/>
    </row>
    <row r="25" spans="2:22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31"/>
    </row>
    <row r="26" spans="2:22" ht="20.149999999999999" customHeight="1" x14ac:dyDescent="0.45">
      <c r="B26" s="29"/>
      <c r="C26" s="17"/>
      <c r="D26" s="487"/>
      <c r="E26" s="487"/>
      <c r="F26" s="487"/>
      <c r="G26" s="76"/>
      <c r="H26" s="56"/>
      <c r="I26" s="494"/>
      <c r="J26" s="494"/>
      <c r="K26" s="30"/>
      <c r="L26" s="31"/>
    </row>
    <row r="27" spans="2:22" ht="20.149999999999999" customHeight="1" x14ac:dyDescent="0.45">
      <c r="B27" s="29"/>
      <c r="C27" s="18" t="s">
        <v>1218</v>
      </c>
      <c r="D27" s="487"/>
      <c r="E27" s="487"/>
      <c r="F27" s="487"/>
      <c r="G27" s="76"/>
      <c r="H27" s="56"/>
      <c r="I27" s="494"/>
      <c r="J27" s="494"/>
      <c r="K27" s="30"/>
      <c r="L27" s="31"/>
    </row>
    <row r="28" spans="2:22" ht="20.149999999999999" customHeight="1" x14ac:dyDescent="0.45">
      <c r="B28" s="29"/>
      <c r="C28" s="147" t="s">
        <v>2183</v>
      </c>
      <c r="G28" s="76"/>
      <c r="H28" s="56"/>
      <c r="I28" s="85"/>
      <c r="J28" s="85"/>
      <c r="K28" s="30"/>
      <c r="L28" s="31"/>
    </row>
    <row r="29" spans="2:22" ht="20.149999999999999" customHeight="1" x14ac:dyDescent="0.45">
      <c r="B29" s="29"/>
      <c r="C29" s="17"/>
      <c r="G29" s="76"/>
      <c r="H29" s="56"/>
      <c r="I29" s="56"/>
      <c r="J29" s="56"/>
      <c r="K29" s="30"/>
      <c r="L29" s="31"/>
    </row>
    <row r="30" spans="2:22" ht="20.149999999999999" customHeight="1" x14ac:dyDescent="0.45">
      <c r="B30" s="104"/>
      <c r="C30" s="105"/>
      <c r="D30" s="514"/>
      <c r="E30" s="514"/>
      <c r="F30" s="514"/>
      <c r="G30" s="105"/>
      <c r="H30" s="105"/>
      <c r="I30" s="124"/>
      <c r="J30" s="124"/>
      <c r="K30" s="108"/>
      <c r="L30" s="12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89" t="s">
        <v>13</v>
      </c>
      <c r="K32" s="490"/>
      <c r="L32" s="38">
        <f>SUM(L18:L31)</f>
        <v>72</v>
      </c>
      <c r="M32" s="179">
        <f>SUM(P18:P30)</f>
        <v>24</v>
      </c>
      <c r="N32" s="133">
        <f>M32/L32</f>
        <v>0.33333333333333331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91" t="s">
        <v>19</v>
      </c>
      <c r="K34" s="492"/>
      <c r="L34" s="41">
        <f>L32-L33</f>
        <v>72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6.4799999999999995</v>
      </c>
    </row>
    <row r="36" spans="2:12" ht="20.149999999999999" customHeight="1" thickBot="1" x14ac:dyDescent="0.5">
      <c r="B36" s="10" t="s">
        <v>676</v>
      </c>
      <c r="C36" s="6"/>
      <c r="D36" s="6"/>
      <c r="E36" s="6"/>
      <c r="F36" s="6"/>
      <c r="G36" s="6"/>
      <c r="H36" s="6"/>
      <c r="I36" s="6"/>
      <c r="J36" s="485" t="s">
        <v>21</v>
      </c>
      <c r="K36" s="486"/>
      <c r="L36" s="43">
        <f>L34+L35</f>
        <v>78.48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666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30:F30"/>
    <mergeCell ref="J32:K32"/>
    <mergeCell ref="J34:K34"/>
    <mergeCell ref="J36:K36"/>
    <mergeCell ref="D25:F25"/>
    <mergeCell ref="I25:J25"/>
    <mergeCell ref="D26:F26"/>
    <mergeCell ref="I26:J26"/>
    <mergeCell ref="D27:F27"/>
    <mergeCell ref="I27:J27"/>
  </mergeCells>
  <pageMargins left="0.70866141732283505" right="0.31496062992126" top="0.59055118110236204" bottom="0" header="0.31496062992126" footer="0.31496062992126"/>
  <pageSetup paperSize="9" scale="76" orientation="portrait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8AB7F-D8B2-48A9-B9CC-031C794C495C}">
  <sheetPr codeName="Sheet85">
    <tabColor rgb="FF7030A0"/>
    <pageSetUpPr fitToPage="1"/>
  </sheetPr>
  <dimension ref="B1:Q44"/>
  <sheetViews>
    <sheetView topLeftCell="B7" zoomScaleNormal="100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089843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8.5" customHeight="1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113</v>
      </c>
      <c r="J10" s="24" t="s">
        <v>27</v>
      </c>
      <c r="K10" s="464">
        <v>202303425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Fusionoplis one.                                           1 Fusionopolis Way Basement 2        #B2-02 Singapore 138632                                   (DRINK)</v>
      </c>
      <c r="G11" s="470"/>
      <c r="H11" s="471"/>
      <c r="J11" s="26" t="s">
        <v>9</v>
      </c>
      <c r="K11" s="504">
        <v>45006</v>
      </c>
      <c r="L11" s="505"/>
    </row>
    <row r="12" spans="2:12" ht="20.149999999999999" customHeight="1" x14ac:dyDescent="0.45">
      <c r="B12" s="480" t="s">
        <v>1145</v>
      </c>
      <c r="C12" s="453"/>
      <c r="D12" s="481"/>
      <c r="E12" s="25"/>
      <c r="F12" s="472"/>
      <c r="G12" s="473"/>
      <c r="H12" s="474"/>
      <c r="J12" s="26" t="s">
        <v>127</v>
      </c>
      <c r="K12" s="506" t="s">
        <v>34</v>
      </c>
      <c r="L12" s="507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7" ht="20.149999999999999" customHeight="1" x14ac:dyDescent="0.45">
      <c r="B18" s="29"/>
      <c r="C18" s="17" t="s">
        <v>937</v>
      </c>
      <c r="D18" s="524" t="str">
        <f>VLOOKUP(C18,'Sales Master'!B$3:D$537,2,)</f>
        <v>Lychee in Syrup 荔枝</v>
      </c>
      <c r="E18" s="524"/>
      <c r="F18" s="524"/>
      <c r="G18" s="76">
        <v>2</v>
      </c>
      <c r="H18" s="188" t="str">
        <f>VLOOKUP(C18,'Sales Master'!$B$3:$F$2488,5,0)</f>
        <v>12 CAN/CARTON</v>
      </c>
      <c r="I18" s="484" t="str">
        <f>VLOOKUP(C18,'Sales Master'!$B$3:$E$2488,4,0)</f>
        <v>Statue</v>
      </c>
      <c r="J18" s="484"/>
      <c r="K18" s="99">
        <f>VLOOKUP(C18,'Sales Master'!$B$3:$AY$537,50,0)</f>
        <v>22</v>
      </c>
      <c r="L18" s="31">
        <f>K18*G18</f>
        <v>44</v>
      </c>
      <c r="N18" s="145">
        <f>VLOOKUP(C18,'Sales Master'!$B$3:$DA$2279,104,0)</f>
        <v>16.5</v>
      </c>
      <c r="O18" s="145">
        <f>K18-N18</f>
        <v>5.5</v>
      </c>
      <c r="P18" s="145">
        <f>O18*G18</f>
        <v>11</v>
      </c>
    </row>
    <row r="19" spans="2:17" ht="20.149999999999999" customHeight="1" x14ac:dyDescent="0.45">
      <c r="B19" s="29"/>
      <c r="C19" s="17"/>
      <c r="D19" s="524"/>
      <c r="E19" s="524"/>
      <c r="F19" s="524"/>
      <c r="G19" s="76"/>
      <c r="H19" s="186"/>
      <c r="I19" s="484"/>
      <c r="J19" s="484"/>
      <c r="K19" s="99"/>
      <c r="L19" s="31"/>
      <c r="N19" s="145"/>
      <c r="O19" s="145"/>
      <c r="P19" s="145"/>
    </row>
    <row r="20" spans="2:17" ht="20.149999999999999" customHeight="1" x14ac:dyDescent="0.45">
      <c r="B20" s="29"/>
      <c r="C20" s="17"/>
      <c r="D20" s="524"/>
      <c r="E20" s="524"/>
      <c r="F20" s="524"/>
      <c r="G20" s="76"/>
      <c r="H20" s="186"/>
      <c r="I20" s="484"/>
      <c r="J20" s="484"/>
      <c r="K20" s="99"/>
      <c r="L20" s="31"/>
      <c r="N20" s="145"/>
      <c r="O20" s="145"/>
      <c r="P20" s="145"/>
    </row>
    <row r="21" spans="2:17" ht="20.149999999999999" customHeight="1" x14ac:dyDescent="0.45">
      <c r="B21" s="29"/>
      <c r="C21" s="17"/>
      <c r="D21" s="524"/>
      <c r="E21" s="524"/>
      <c r="F21" s="524"/>
      <c r="G21" s="76"/>
      <c r="H21" s="186"/>
      <c r="I21" s="484"/>
      <c r="J21" s="484"/>
      <c r="K21" s="99"/>
      <c r="L21" s="31"/>
      <c r="N21" s="145"/>
      <c r="O21" s="145"/>
      <c r="P21" s="145"/>
    </row>
    <row r="22" spans="2:17" ht="20.149999999999999" customHeight="1" x14ac:dyDescent="0.45">
      <c r="B22" s="29"/>
      <c r="C22" s="17"/>
      <c r="D22" s="524"/>
      <c r="E22" s="524"/>
      <c r="F22" s="524"/>
      <c r="G22" s="76"/>
      <c r="H22" s="186"/>
      <c r="I22" s="484"/>
      <c r="J22" s="484"/>
      <c r="K22" s="99"/>
      <c r="L22" s="31"/>
      <c r="N22" s="145"/>
      <c r="O22" s="145"/>
      <c r="P22" s="145"/>
    </row>
    <row r="23" spans="2:17" ht="20.149999999999999" customHeight="1" x14ac:dyDescent="0.45">
      <c r="B23" s="29"/>
      <c r="C23" s="17"/>
      <c r="D23" s="524"/>
      <c r="E23" s="524"/>
      <c r="F23" s="524"/>
      <c r="G23" s="76"/>
      <c r="H23" s="186"/>
      <c r="I23" s="484"/>
      <c r="J23" s="484"/>
      <c r="K23" s="99"/>
      <c r="L23" s="31"/>
      <c r="N23" s="145"/>
      <c r="O23" s="145"/>
      <c r="P23" s="145"/>
    </row>
    <row r="24" spans="2:17" ht="20.149999999999999" customHeight="1" x14ac:dyDescent="0.45">
      <c r="B24" s="29"/>
      <c r="C24" s="17"/>
      <c r="D24" s="524"/>
      <c r="E24" s="524"/>
      <c r="F24" s="524"/>
      <c r="G24" s="76"/>
      <c r="H24" s="186"/>
      <c r="I24" s="484"/>
      <c r="J24" s="484"/>
      <c r="K24" s="99"/>
      <c r="L24" s="31"/>
      <c r="N24" s="145"/>
      <c r="O24" s="145"/>
      <c r="P24" s="145"/>
    </row>
    <row r="25" spans="2:17" ht="20.149999999999999" customHeight="1" x14ac:dyDescent="0.45">
      <c r="B25" s="29"/>
      <c r="C25" s="17"/>
      <c r="D25" s="524"/>
      <c r="E25" s="524"/>
      <c r="F25" s="524"/>
      <c r="G25" s="76"/>
      <c r="H25" s="186"/>
      <c r="I25" s="484"/>
      <c r="J25" s="484"/>
      <c r="K25" s="99"/>
      <c r="L25" s="31"/>
      <c r="N25" s="145"/>
      <c r="O25" s="145"/>
      <c r="P25" s="145"/>
    </row>
    <row r="26" spans="2:17" ht="20.149999999999999" customHeight="1" x14ac:dyDescent="0.45">
      <c r="B26" s="29"/>
      <c r="C26" s="17"/>
      <c r="D26" s="524"/>
      <c r="E26" s="524"/>
      <c r="F26" s="524"/>
      <c r="G26" s="17"/>
      <c r="H26" s="56"/>
      <c r="I26" s="494"/>
      <c r="J26" s="494"/>
      <c r="K26" s="99"/>
      <c r="L26" s="31"/>
    </row>
    <row r="27" spans="2:17" ht="20.149999999999999" customHeight="1" x14ac:dyDescent="0.45">
      <c r="B27" s="29"/>
      <c r="C27" s="17"/>
      <c r="D27" s="524"/>
      <c r="E27" s="524"/>
      <c r="F27" s="524"/>
      <c r="G27" s="17"/>
      <c r="H27" s="56"/>
      <c r="I27" s="494"/>
      <c r="J27" s="494"/>
      <c r="K27" s="99"/>
      <c r="L27" s="31"/>
    </row>
    <row r="28" spans="2:17" ht="20.149999999999999" customHeight="1" x14ac:dyDescent="0.45">
      <c r="B28" s="29"/>
      <c r="C28" s="17"/>
      <c r="D28" s="524"/>
      <c r="E28" s="524"/>
      <c r="F28" s="524"/>
      <c r="G28" s="17"/>
      <c r="H28" s="56"/>
      <c r="I28" s="494"/>
      <c r="J28" s="494"/>
      <c r="K28" s="99"/>
      <c r="L28" s="31"/>
    </row>
    <row r="29" spans="2:17" ht="20.149999999999999" customHeight="1" x14ac:dyDescent="0.45">
      <c r="B29" s="29"/>
      <c r="C29" s="17"/>
      <c r="D29" s="524"/>
      <c r="E29" s="524"/>
      <c r="F29" s="524"/>
      <c r="G29" s="17"/>
      <c r="H29" s="56"/>
      <c r="I29" s="494"/>
      <c r="J29" s="494"/>
      <c r="K29" s="30"/>
      <c r="L29" s="31"/>
    </row>
    <row r="30" spans="2:17" ht="20.149999999999999" customHeight="1" thickBot="1" x14ac:dyDescent="0.5">
      <c r="B30" s="32"/>
      <c r="C30" s="33"/>
      <c r="D30" s="488"/>
      <c r="E30" s="488"/>
      <c r="F30" s="488"/>
      <c r="G30" s="33"/>
      <c r="H30" s="33"/>
      <c r="I30" s="33"/>
      <c r="J30" s="33"/>
      <c r="K30" s="34"/>
      <c r="L30" s="35"/>
    </row>
    <row r="31" spans="2:17" ht="20.149999999999999" customHeight="1" thickBot="1" x14ac:dyDescent="0.5">
      <c r="B31" s="36"/>
      <c r="L31" s="37"/>
    </row>
    <row r="32" spans="2:17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89" t="s">
        <v>13</v>
      </c>
      <c r="K32" s="490"/>
      <c r="L32" s="38">
        <f>SUM(L17:L29)</f>
        <v>44</v>
      </c>
      <c r="M32" s="63">
        <f>SUM(P18:P30)</f>
        <v>11</v>
      </c>
      <c r="N32" s="133">
        <f>M32/L32</f>
        <v>0.25</v>
      </c>
      <c r="Q32" s="63">
        <f>SUM(Q19:Q31)</f>
        <v>0</v>
      </c>
    </row>
    <row r="33" spans="2:17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7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91" t="s">
        <v>19</v>
      </c>
      <c r="K34" s="492"/>
      <c r="L34" s="41">
        <f>L32-L33</f>
        <v>44</v>
      </c>
    </row>
    <row r="35" spans="2:17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3.96</v>
      </c>
    </row>
    <row r="36" spans="2:17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85" t="s">
        <v>21</v>
      </c>
      <c r="K36" s="486"/>
      <c r="L36" s="43">
        <f>L34+L35</f>
        <v>47.96</v>
      </c>
    </row>
    <row r="37" spans="2:17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  <c r="N37" s="173">
        <v>44641</v>
      </c>
      <c r="O37" s="19">
        <v>127.5</v>
      </c>
      <c r="P37" s="19">
        <v>18.8</v>
      </c>
      <c r="Q37" s="133">
        <f>P37/O37</f>
        <v>0.14745098039215687</v>
      </c>
    </row>
    <row r="38" spans="2:17" ht="20.149999999999999" customHeight="1" x14ac:dyDescent="0.45">
      <c r="B38" s="36"/>
      <c r="L38" s="37"/>
    </row>
    <row r="39" spans="2:17" ht="20.149999999999999" customHeight="1" x14ac:dyDescent="0.45">
      <c r="B39" s="36"/>
      <c r="L39" s="37"/>
    </row>
    <row r="40" spans="2:17" ht="20.149999999999999" customHeight="1" x14ac:dyDescent="0.45">
      <c r="B40" s="36"/>
      <c r="L40" s="37"/>
    </row>
    <row r="41" spans="2:17" ht="20.149999999999999" customHeight="1" x14ac:dyDescent="0.45">
      <c r="B41" s="36"/>
      <c r="L41" s="37"/>
    </row>
    <row r="42" spans="2:17" ht="20.149999999999999" customHeight="1" x14ac:dyDescent="0.45">
      <c r="B42" s="44"/>
      <c r="C42" s="45"/>
      <c r="D42" s="45"/>
      <c r="J42" s="45"/>
      <c r="K42" s="45"/>
      <c r="L42" s="46"/>
    </row>
    <row r="43" spans="2:17" ht="20.149999999999999" customHeight="1" x14ac:dyDescent="0.45">
      <c r="B43" s="36" t="s">
        <v>25</v>
      </c>
      <c r="J43" s="19" t="s">
        <v>26</v>
      </c>
      <c r="L43" s="37"/>
    </row>
    <row r="44" spans="2:17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34:K34"/>
    <mergeCell ref="J36:K36"/>
    <mergeCell ref="D28:F28"/>
    <mergeCell ref="I28:J28"/>
    <mergeCell ref="D29:F29"/>
    <mergeCell ref="I29:J29"/>
    <mergeCell ref="D30:F30"/>
    <mergeCell ref="J32:K32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95540-0E66-4870-B76B-5A56C15A0B9D}">
  <sheetPr>
    <tabColor rgb="FF7030A0"/>
    <pageSetUpPr fitToPage="1"/>
  </sheetPr>
  <dimension ref="B1:V1048576"/>
  <sheetViews>
    <sheetView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2195</v>
      </c>
      <c r="J10" s="24" t="s">
        <v>27</v>
      </c>
      <c r="K10" s="464">
        <v>202501023</v>
      </c>
      <c r="L10" s="465"/>
    </row>
    <row r="11" spans="2:12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 xml:space="preserve">FOOD REPUBLIC PTE LTD                                   ION Orchard @ Fruit Stall                           2, Orchard Turn #B4-03/04        Singapore 238801                                           </v>
      </c>
      <c r="G11" s="470"/>
      <c r="H11" s="471"/>
      <c r="J11" s="26" t="s">
        <v>9</v>
      </c>
      <c r="K11" s="512">
        <v>45293</v>
      </c>
      <c r="L11" s="479"/>
    </row>
    <row r="12" spans="2:12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.149999999999999" customHeight="1" x14ac:dyDescent="0.45">
      <c r="B18" s="58"/>
      <c r="C18" s="212" t="s">
        <v>987</v>
      </c>
      <c r="D18" s="487" t="str">
        <f>VLOOKUP(C18,'Sales Master'!B$3:D$537,2,)</f>
        <v>Brown Sugar 黑糖</v>
      </c>
      <c r="E18" s="487"/>
      <c r="F18" s="487"/>
      <c r="G18" s="76">
        <v>1</v>
      </c>
      <c r="H18" s="196" t="str">
        <f>VLOOKUP(C18,'Sales Master'!$B$3:$F$2420,5,0)</f>
        <v>6 KG</v>
      </c>
      <c r="I18" s="513" t="str">
        <f>VLOOKUP(C18,'Sales Master'!$B$3:$E$2420,4,0)</f>
        <v>Star</v>
      </c>
      <c r="J18" s="513"/>
      <c r="K18" s="83">
        <f>VLOOKUP(C18,'Sales Master'!B$3:I$537,8,0)</f>
        <v>17</v>
      </c>
      <c r="L18" s="84">
        <f>K18*G18</f>
        <v>17</v>
      </c>
      <c r="S18" s="93"/>
      <c r="T18" s="93"/>
      <c r="U18" s="93"/>
      <c r="V18" s="93"/>
    </row>
    <row r="19" spans="2:22" ht="20.149999999999999" customHeight="1" x14ac:dyDescent="0.45">
      <c r="B19" s="58"/>
      <c r="C19" s="212" t="s">
        <v>995</v>
      </c>
      <c r="D19" s="487" t="str">
        <f>VLOOKUP(C19,'Sales Master'!B$3:D$537,2,)</f>
        <v>Coconut Sugar 椰糖</v>
      </c>
      <c r="E19" s="487"/>
      <c r="F19" s="487"/>
      <c r="G19" s="76">
        <v>1</v>
      </c>
      <c r="H19" s="196" t="str">
        <f>VLOOKUP(C19,'Sales Master'!$B$3:$F$2420,5,0)</f>
        <v>10 KG/ ctn</v>
      </c>
      <c r="I19" s="513" t="str">
        <f>VLOOKUP(C19,'Sales Master'!$B$3:$E$2420,4,0)</f>
        <v>BL BRAND</v>
      </c>
      <c r="J19" s="513"/>
      <c r="K19" s="83">
        <f>VLOOKUP(C19,'Sales Master'!B$3:I$537,8,0)</f>
        <v>35</v>
      </c>
      <c r="L19" s="84">
        <f>K19*G19</f>
        <v>35</v>
      </c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87"/>
      <c r="E20" s="487"/>
      <c r="F20" s="487"/>
      <c r="G20" s="76"/>
      <c r="H20" s="82"/>
      <c r="I20" s="447"/>
      <c r="J20" s="447"/>
      <c r="K20" s="83"/>
      <c r="L20" s="84"/>
    </row>
    <row r="21" spans="2:22" ht="20.149999999999999" customHeight="1" x14ac:dyDescent="0.45">
      <c r="B21" s="29"/>
      <c r="C21" s="17"/>
      <c r="D21" s="487"/>
      <c r="E21" s="487"/>
      <c r="F21" s="487"/>
      <c r="G21" s="76"/>
      <c r="H21" s="82"/>
      <c r="I21" s="447"/>
      <c r="J21" s="447"/>
      <c r="K21" s="83"/>
      <c r="L21" s="84"/>
    </row>
    <row r="22" spans="2:22" ht="20.149999999999999" customHeight="1" x14ac:dyDescent="0.45">
      <c r="B22" s="29"/>
      <c r="C22" s="17"/>
      <c r="D22" s="487"/>
      <c r="E22" s="487"/>
      <c r="F22" s="487"/>
      <c r="G22" s="76"/>
      <c r="H22" s="82"/>
      <c r="I22" s="447"/>
      <c r="J22" s="447"/>
      <c r="K22" s="83"/>
      <c r="L22" s="84"/>
      <c r="N22" s="145"/>
      <c r="O22" s="145"/>
      <c r="P22" s="145"/>
      <c r="Q22" s="170"/>
      <c r="R22" s="93"/>
    </row>
    <row r="23" spans="2:22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31"/>
    </row>
    <row r="24" spans="2:22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31"/>
    </row>
    <row r="25" spans="2:22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31"/>
    </row>
    <row r="26" spans="2:22" ht="20.149999999999999" customHeight="1" x14ac:dyDescent="0.45">
      <c r="B26" s="29"/>
      <c r="C26" s="17"/>
      <c r="D26" s="487"/>
      <c r="E26" s="487"/>
      <c r="F26" s="487"/>
      <c r="G26" s="76"/>
      <c r="H26" s="56"/>
      <c r="I26" s="494"/>
      <c r="J26" s="494"/>
      <c r="K26" s="30"/>
      <c r="L26" s="31"/>
    </row>
    <row r="27" spans="2:22" ht="20.149999999999999" customHeight="1" x14ac:dyDescent="0.45">
      <c r="B27" s="29"/>
      <c r="C27" s="17"/>
      <c r="D27" s="487"/>
      <c r="E27" s="487"/>
      <c r="F27" s="487"/>
      <c r="G27" s="76"/>
      <c r="H27" s="56"/>
      <c r="I27" s="494"/>
      <c r="J27" s="494"/>
      <c r="K27" s="30"/>
      <c r="L27" s="31"/>
    </row>
    <row r="28" spans="2:22" ht="20.149999999999999" customHeight="1" x14ac:dyDescent="0.45">
      <c r="B28" s="29"/>
      <c r="C28" s="17"/>
      <c r="G28" s="76"/>
      <c r="H28" s="56"/>
      <c r="I28" s="56"/>
      <c r="J28" s="56"/>
      <c r="K28" s="30"/>
      <c r="L28" s="31"/>
    </row>
    <row r="29" spans="2:22" ht="20.149999999999999" customHeight="1" x14ac:dyDescent="0.45">
      <c r="B29" s="104"/>
      <c r="C29" s="105"/>
      <c r="D29" s="514"/>
      <c r="E29" s="514"/>
      <c r="F29" s="514"/>
      <c r="G29" s="105"/>
      <c r="H29" s="105"/>
      <c r="I29" s="124"/>
      <c r="J29" s="124"/>
      <c r="K29" s="108"/>
      <c r="L29" s="12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89" t="s">
        <v>13</v>
      </c>
      <c r="K31" s="490"/>
      <c r="L31" s="38">
        <f>SUM(L18:L30)</f>
        <v>52</v>
      </c>
      <c r="M31" s="63">
        <f>SUM(P18:P19)</f>
        <v>0</v>
      </c>
      <c r="N31" s="133"/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91" t="s">
        <v>19</v>
      </c>
      <c r="K33" s="492"/>
      <c r="L33" s="41">
        <f>L31-L32</f>
        <v>52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4.68</v>
      </c>
    </row>
    <row r="35" spans="2:12" ht="20.149999999999999" customHeight="1" thickBot="1" x14ac:dyDescent="0.5">
      <c r="B35" s="10" t="s">
        <v>676</v>
      </c>
      <c r="C35" s="6"/>
      <c r="D35" s="6"/>
      <c r="E35" s="6"/>
      <c r="F35" s="6"/>
      <c r="G35" s="6"/>
      <c r="H35" s="6"/>
      <c r="I35" s="6"/>
      <c r="J35" s="485" t="s">
        <v>21</v>
      </c>
      <c r="K35" s="486"/>
      <c r="L35" s="43">
        <f>L33+L34</f>
        <v>56.68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666</v>
      </c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1048576" spans="4:6" x14ac:dyDescent="0.45">
      <c r="D1048576" s="487"/>
      <c r="E1048576" s="487"/>
      <c r="F1048576" s="487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J35:K35"/>
    <mergeCell ref="D1048576:F1048576"/>
    <mergeCell ref="D27:F27"/>
    <mergeCell ref="I27:J27"/>
    <mergeCell ref="D29:F29"/>
    <mergeCell ref="J31:K31"/>
    <mergeCell ref="J33:K33"/>
  </mergeCells>
  <conditionalFormatting sqref="C18">
    <cfRule type="duplicateValues" dxfId="43" priority="3"/>
  </conditionalFormatting>
  <conditionalFormatting sqref="C19">
    <cfRule type="duplicateValues" dxfId="42" priority="5"/>
  </conditionalFormatting>
  <conditionalFormatting sqref="C20">
    <cfRule type="duplicateValues" dxfId="41" priority="4"/>
  </conditionalFormatting>
  <conditionalFormatting sqref="C21">
    <cfRule type="duplicateValues" dxfId="40" priority="2"/>
  </conditionalFormatting>
  <conditionalFormatting sqref="C22">
    <cfRule type="duplicateValues" dxfId="39" priority="1"/>
  </conditionalFormatting>
  <conditionalFormatting sqref="C24">
    <cfRule type="duplicateValues" dxfId="38" priority="6"/>
  </conditionalFormatting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BC92C-212B-44B0-87D4-AA5D3A1303EF}">
  <sheetPr>
    <tabColor rgb="FF7030A0"/>
    <pageSetUpPr fitToPage="1"/>
  </sheetPr>
  <dimension ref="B1:P42"/>
  <sheetViews>
    <sheetView topLeftCell="A26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2201</v>
      </c>
      <c r="J10" s="24" t="s">
        <v>27</v>
      </c>
      <c r="K10" s="464">
        <v>202501039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Koufu-Drink Stall                                                127 Plantation Crescent, 03-02,  Plantation Plaza, Singapore 690127</v>
      </c>
      <c r="G11" s="470"/>
      <c r="H11" s="471"/>
      <c r="J11" s="26" t="s">
        <v>9</v>
      </c>
      <c r="K11" s="478">
        <v>45659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876</v>
      </c>
      <c r="D18" s="487" t="str">
        <f>VLOOKUP(C18,'Sales Master'!B$3:D$537,2,)</f>
        <v>Bean Curd Sheet 腐竹</v>
      </c>
      <c r="E18" s="487"/>
      <c r="F18" s="487"/>
      <c r="G18" s="17">
        <v>20</v>
      </c>
      <c r="H18" s="85" t="str">
        <f>VLOOKUP(C18,'Sales Master'!$B$3:$F$2488,5,0)</f>
        <v xml:space="preserve">150g/pkt </v>
      </c>
      <c r="I18" s="484" t="str">
        <f>VLOOKUP(C18,'Sales Master'!$B$3:$E$2488,4,0)</f>
        <v>生记</v>
      </c>
      <c r="J18" s="484"/>
      <c r="K18" s="30">
        <f>VLOOKUP(C18,'Sales Master'!$B$3:$J$537,9,0)</f>
        <v>3</v>
      </c>
      <c r="L18" s="31">
        <f>K18*G18</f>
        <v>60</v>
      </c>
      <c r="N18" s="145">
        <f>VLOOKUP(C18,'Sales Master'!$B$3:$DA$2279,104,0)</f>
        <v>2.5</v>
      </c>
      <c r="O18" s="145">
        <f>K18-N18</f>
        <v>0.5</v>
      </c>
      <c r="P18" s="145">
        <f>O18*G18</f>
        <v>10</v>
      </c>
    </row>
    <row r="19" spans="2:16" ht="20.149999999999999" customHeight="1" x14ac:dyDescent="0.45">
      <c r="B19" s="29"/>
      <c r="C19" s="212"/>
      <c r="D19" s="498"/>
      <c r="E19" s="498"/>
      <c r="F19" s="498"/>
      <c r="G19" s="17"/>
      <c r="H19" s="85"/>
      <c r="I19" s="484"/>
      <c r="J19" s="484"/>
      <c r="K19" s="30"/>
      <c r="L19" s="31"/>
      <c r="N19" s="145"/>
      <c r="O19" s="145"/>
      <c r="P19" s="145"/>
    </row>
    <row r="20" spans="2:16" ht="20.149999999999999" customHeight="1" x14ac:dyDescent="0.45">
      <c r="B20" s="29"/>
      <c r="C20" s="212"/>
      <c r="D20" s="487"/>
      <c r="E20" s="487"/>
      <c r="F20" s="487"/>
      <c r="G20" s="17"/>
      <c r="H20" s="85"/>
      <c r="I20" s="484"/>
      <c r="J20" s="484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2"/>
      <c r="D21" s="487"/>
      <c r="E21" s="487"/>
      <c r="F21" s="487"/>
      <c r="G21" s="17"/>
      <c r="H21" s="85"/>
      <c r="I21" s="484"/>
      <c r="J21" s="484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2"/>
      <c r="D22" s="487"/>
      <c r="E22" s="487"/>
      <c r="F22" s="487"/>
      <c r="G22" s="17"/>
      <c r="H22" s="85"/>
      <c r="I22" s="484"/>
      <c r="J22" s="484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2"/>
      <c r="D23" s="487"/>
      <c r="E23" s="487"/>
      <c r="F23" s="487"/>
      <c r="G23" s="17"/>
      <c r="H23" s="85"/>
      <c r="I23" s="484"/>
      <c r="J23" s="484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212"/>
      <c r="D24" s="487"/>
      <c r="E24" s="487"/>
      <c r="F24" s="487"/>
      <c r="G24" s="17"/>
      <c r="H24" s="85"/>
      <c r="I24" s="484"/>
      <c r="J24" s="484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17"/>
      <c r="D25" s="487"/>
      <c r="E25" s="487"/>
      <c r="F25" s="487"/>
      <c r="G25" s="17"/>
      <c r="H25" s="56"/>
      <c r="I25" s="17"/>
      <c r="J25" s="17"/>
      <c r="K25" s="30"/>
      <c r="L25" s="31"/>
    </row>
    <row r="26" spans="2:16" ht="20.149999999999999" customHeight="1" x14ac:dyDescent="0.45">
      <c r="B26" s="29"/>
      <c r="C26" s="17"/>
      <c r="D26" s="487"/>
      <c r="E26" s="487"/>
      <c r="F26" s="487"/>
      <c r="G26" s="17"/>
      <c r="H26" s="56"/>
      <c r="I26" s="56"/>
      <c r="J26" s="17"/>
      <c r="K26" s="30"/>
      <c r="L26" s="31"/>
    </row>
    <row r="27" spans="2:16" ht="20.149999999999999" customHeight="1" x14ac:dyDescent="0.45">
      <c r="B27" s="29"/>
      <c r="C27" s="17"/>
      <c r="D27" s="487"/>
      <c r="E27" s="487"/>
      <c r="F27" s="487"/>
      <c r="G27" s="17"/>
      <c r="H27" s="17"/>
      <c r="I27" s="17"/>
      <c r="J27" s="17"/>
      <c r="K27" s="30"/>
      <c r="L27" s="31"/>
    </row>
    <row r="28" spans="2:16" ht="20.149999999999999" customHeight="1" thickBot="1" x14ac:dyDescent="0.5">
      <c r="B28" s="32"/>
      <c r="C28" s="33"/>
      <c r="D28" s="488"/>
      <c r="E28" s="488"/>
      <c r="F28" s="488"/>
      <c r="G28" s="33"/>
      <c r="H28" s="33"/>
      <c r="I28" s="33"/>
      <c r="J28" s="33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SUM(L17:L28)</f>
        <v>60</v>
      </c>
      <c r="M30" s="63">
        <f>SUM(P18:P23)-L30*0.02</f>
        <v>8.8000000000000007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60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5.3999999999999995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65.400000000000006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6">
    <mergeCell ref="D24:F24"/>
    <mergeCell ref="I24:J24"/>
    <mergeCell ref="J34:K34"/>
    <mergeCell ref="D25:F25"/>
    <mergeCell ref="D26:F26"/>
    <mergeCell ref="D27:F27"/>
    <mergeCell ref="D28:F28"/>
    <mergeCell ref="J30:K30"/>
    <mergeCell ref="J32:K32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6D616-518D-42CE-93B6-6F29ACF6E72A}">
  <sheetPr>
    <tabColor rgb="FFFFC000"/>
    <pageSetUpPr fitToPage="1"/>
  </sheetPr>
  <dimension ref="B1:P43"/>
  <sheetViews>
    <sheetView topLeftCell="A14" workbookViewId="0">
      <selection activeCell="D25" sqref="D25:F2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5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5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5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5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5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5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5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5" ht="19" thickBot="1" x14ac:dyDescent="0.5">
      <c r="B9" s="18"/>
      <c r="N9" s="19" t="s">
        <v>1309</v>
      </c>
      <c r="O9" s="19" t="s">
        <v>1868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2203</v>
      </c>
      <c r="J10" s="24" t="s">
        <v>27</v>
      </c>
      <c r="K10" s="464">
        <v>202501193</v>
      </c>
      <c r="L10" s="465"/>
      <c r="N10" s="19" t="s">
        <v>730</v>
      </c>
      <c r="O10" s="19" t="s">
        <v>1348</v>
      </c>
    </row>
    <row r="11" spans="2:15" ht="20.149999999999999" customHeight="1" x14ac:dyDescent="0.45">
      <c r="B11" s="466" t="s">
        <v>2204</v>
      </c>
      <c r="C11" s="467"/>
      <c r="D11" s="468"/>
      <c r="E11" s="25"/>
      <c r="F11" s="469" t="str">
        <f>VLOOKUP(H10,'Delivery Location'!A$4:N$466,2,0)</f>
        <v>Fullybooked                                                         45 Tai Thong Crescent,                Singapore 347866</v>
      </c>
      <c r="G11" s="470"/>
      <c r="H11" s="471"/>
      <c r="J11" s="26" t="s">
        <v>9</v>
      </c>
      <c r="K11" s="478">
        <v>45665</v>
      </c>
      <c r="L11" s="479"/>
      <c r="N11" s="19" t="s">
        <v>1713</v>
      </c>
      <c r="O11" s="19" t="s">
        <v>1869</v>
      </c>
    </row>
    <row r="12" spans="2:15" ht="20.149999999999999" customHeight="1" x14ac:dyDescent="0.45">
      <c r="B12" s="480" t="s">
        <v>2205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  <c r="N12" s="19" t="s">
        <v>786</v>
      </c>
      <c r="O12" s="19" t="s">
        <v>224</v>
      </c>
    </row>
    <row r="13" spans="2:15" ht="20.149999999999999" customHeight="1" x14ac:dyDescent="0.45">
      <c r="B13" s="480" t="s">
        <v>2206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451</v>
      </c>
      <c r="L13" s="483"/>
      <c r="N13" s="19" t="s">
        <v>1740</v>
      </c>
      <c r="O13" s="19" t="s">
        <v>1534</v>
      </c>
    </row>
    <row r="14" spans="2:15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5" ht="18" customHeight="1" thickBot="1" x14ac:dyDescent="0.5">
      <c r="B15" s="475"/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703</v>
      </c>
      <c r="D18" s="487" t="str">
        <f>VLOOKUP(C18,'Sales Master'!B$3:D$537,2,)</f>
        <v>Mango Puree 芒果酱</v>
      </c>
      <c r="E18" s="487"/>
      <c r="F18" s="487"/>
      <c r="G18" s="76">
        <v>1</v>
      </c>
      <c r="H18" s="186" t="str">
        <f>VLOOKUP(C18,'Sales Master'!$B$3:$F$2488,5,0)</f>
        <v>1 KG/ Box盒</v>
      </c>
      <c r="I18" s="484" t="str">
        <f>VLOOKUP(C18,'Sales Master'!$B$3:$E$2488,4,0)</f>
        <v>DO!</v>
      </c>
      <c r="J18" s="484"/>
      <c r="K18" s="30">
        <f>VLOOKUP(C18,'Sales Master'!B$3:AA$537,26,0)</f>
        <v>8</v>
      </c>
      <c r="L18" s="64">
        <f>K18*G18</f>
        <v>8</v>
      </c>
      <c r="M18" s="65"/>
      <c r="N18" s="145">
        <f>VLOOKUP(C18,'Sales Master'!$B$3:$DA$2279,104,0)</f>
        <v>2.15</v>
      </c>
      <c r="O18" s="145">
        <f>K18-N18</f>
        <v>5.85</v>
      </c>
      <c r="P18" s="145">
        <f>O18*G18</f>
        <v>5.85</v>
      </c>
    </row>
    <row r="19" spans="2:16" ht="20.149999999999999" customHeight="1" x14ac:dyDescent="0.45">
      <c r="B19" s="29"/>
      <c r="C19" s="212" t="s">
        <v>853</v>
      </c>
      <c r="D19" s="487" t="str">
        <f>VLOOKUP(C19,'Sales Master'!B$3:D$537,2,)</f>
        <v>Small Sago 小丸</v>
      </c>
      <c r="E19" s="487"/>
      <c r="F19" s="487"/>
      <c r="G19" s="76">
        <v>1</v>
      </c>
      <c r="H19" s="186" t="str">
        <f>VLOOKUP(C19,'Sales Master'!$B$3:$F$2488,5,0)</f>
        <v>5 KG</v>
      </c>
      <c r="I19" s="484" t="str">
        <f>VLOOKUP(C19,'Sales Master'!$B$3:$E$2488,4,0)</f>
        <v>-</v>
      </c>
      <c r="J19" s="484"/>
      <c r="K19" s="30">
        <f>VLOOKUP(C19,'Sales Master'!B$3:AA$537,26,0)</f>
        <v>13.5</v>
      </c>
      <c r="L19" s="64">
        <f t="shared" ref="L19:L20" si="0">K19*G19</f>
        <v>13.5</v>
      </c>
      <c r="M19" s="65"/>
      <c r="N19" s="145">
        <f>VLOOKUP(C19,'Sales Master'!$B$3:$DA$2279,104,0)</f>
        <v>0.70833333333333326</v>
      </c>
      <c r="O19" s="145">
        <f t="shared" ref="O19:O20" si="1">K19-N19</f>
        <v>12.791666666666666</v>
      </c>
      <c r="P19" s="145">
        <f t="shared" ref="P19:P20" si="2">O19*G19</f>
        <v>12.791666666666666</v>
      </c>
    </row>
    <row r="20" spans="2:16" ht="20.149999999999999" customHeight="1" x14ac:dyDescent="0.45">
      <c r="B20" s="29"/>
      <c r="C20" s="212" t="s">
        <v>2210</v>
      </c>
      <c r="D20" s="487" t="str">
        <f>VLOOKUP(C20,'Sales Master'!B$3:D$537,2,)</f>
        <v>Pomelo in Syrup 柚子</v>
      </c>
      <c r="E20" s="487"/>
      <c r="F20" s="487"/>
      <c r="G20" s="76">
        <v>1</v>
      </c>
      <c r="H20" s="186" t="str">
        <f>VLOOKUP(C20,'Sales Master'!$B$3:$F$2488,5,0)</f>
        <v>(850gm x 12)/ Ctn箱</v>
      </c>
      <c r="I20" s="484" t="str">
        <f>VLOOKUP(C20,'Sales Master'!$B$3:$E$2488,4,0)</f>
        <v>GoldenBoy</v>
      </c>
      <c r="J20" s="484"/>
      <c r="K20" s="30">
        <f>VLOOKUP(C20,'Sales Master'!B$3:AA$537,26,0)</f>
        <v>50</v>
      </c>
      <c r="L20" s="64">
        <f t="shared" si="0"/>
        <v>50</v>
      </c>
      <c r="M20" s="65"/>
      <c r="N20" s="145">
        <f>VLOOKUP(C20,'Sales Master'!$B$3:$DA$2279,104,0)</f>
        <v>42</v>
      </c>
      <c r="O20" s="145">
        <f t="shared" si="1"/>
        <v>8</v>
      </c>
      <c r="P20" s="145">
        <f t="shared" si="2"/>
        <v>8</v>
      </c>
    </row>
    <row r="21" spans="2:16" ht="20.149999999999999" customHeight="1" x14ac:dyDescent="0.45">
      <c r="B21" s="29"/>
      <c r="C21" s="212" t="s">
        <v>2167</v>
      </c>
      <c r="D21" s="487" t="str">
        <f>VLOOKUP(C21,'Sales Master'!B$3:D$537,2,)</f>
        <v>Coconut Sugar Syrup 椰糖浆</v>
      </c>
      <c r="E21" s="487"/>
      <c r="F21" s="487"/>
      <c r="G21" s="76">
        <v>1</v>
      </c>
      <c r="H21" s="186" t="str">
        <f>VLOOKUP(C21,'Sales Master'!$B$3:$F$2488,5,0)</f>
        <v>GW: 5 KG/ Btl支</v>
      </c>
      <c r="I21" s="484" t="str">
        <f>VLOOKUP(C21,'Sales Master'!$B$3:$E$2488,4,0)</f>
        <v>DO!</v>
      </c>
      <c r="J21" s="484"/>
      <c r="K21" s="30">
        <f>VLOOKUP(C21,'Sales Master'!B$3:AA$537,26,0)</f>
        <v>0</v>
      </c>
      <c r="L21" s="64">
        <f>K21*G21</f>
        <v>0</v>
      </c>
      <c r="M21" s="65"/>
      <c r="N21" s="145">
        <f>VLOOKUP(C21,'Sales Master'!$B$3:$DA$2279,104,0)</f>
        <v>0</v>
      </c>
      <c r="O21" s="145">
        <f>K21-N21</f>
        <v>0</v>
      </c>
      <c r="P21" s="145">
        <f>O21*G21</f>
        <v>0</v>
      </c>
    </row>
    <row r="22" spans="2:16" ht="20.149999999999999" customHeight="1" x14ac:dyDescent="0.45">
      <c r="B22" s="29"/>
      <c r="C22" s="212" t="s">
        <v>2051</v>
      </c>
      <c r="D22" s="524" t="str">
        <f>VLOOKUP(C22,'Sales Master'!B$3:D$537,2,)</f>
        <v>BLACK SESAME PASTE 黑芝麻糊</v>
      </c>
      <c r="E22" s="524"/>
      <c r="F22" s="524"/>
      <c r="G22" s="76">
        <v>1</v>
      </c>
      <c r="H22" s="186" t="str">
        <f>VLOOKUP(C22,'Sales Master'!$B$3:$F$2488,5,0)</f>
        <v>800 GM/ Pkt包</v>
      </c>
      <c r="I22" s="484" t="str">
        <f>VLOOKUP(C22,'Sales Master'!$B$3:$E$2488,4,0)</f>
        <v>DO!</v>
      </c>
      <c r="J22" s="484"/>
      <c r="K22" s="30">
        <f>VLOOKUP(C22,'Sales Master'!B$3:AA$537,26,0)</f>
        <v>6.4</v>
      </c>
      <c r="L22" s="64">
        <f>K22*G22</f>
        <v>6.4</v>
      </c>
      <c r="M22" s="65"/>
      <c r="N22" s="145">
        <f>VLOOKUP(C22,'Sales Master'!$B$3:$DA$2279,104,0)</f>
        <v>0</v>
      </c>
      <c r="O22" s="145">
        <f>K22-N22</f>
        <v>6.4</v>
      </c>
      <c r="P22" s="145">
        <f>O22*G22</f>
        <v>6.4</v>
      </c>
    </row>
    <row r="23" spans="2:16" ht="20.149999999999999" customHeight="1" x14ac:dyDescent="0.45">
      <c r="B23" s="29"/>
      <c r="C23" s="212" t="s">
        <v>2258</v>
      </c>
      <c r="D23" s="487" t="str">
        <f>VLOOKUP(C23,'Sales Master'!B$3:D$537,2,)</f>
        <v>Herbal Jelly 菊花罗汉果冻</v>
      </c>
      <c r="E23" s="487"/>
      <c r="F23" s="487"/>
      <c r="G23" s="76">
        <v>2</v>
      </c>
      <c r="H23" s="186" t="str">
        <f>VLOOKUP(C23,'Sales Master'!$B$3:$F$2488,5,0)</f>
        <v>230 GM/ Bowl</v>
      </c>
      <c r="I23" s="484" t="str">
        <f>VLOOKUP(C23,'Sales Master'!$B$3:$E$2488,4,0)</f>
        <v>DO!</v>
      </c>
      <c r="J23" s="484"/>
      <c r="K23" s="30">
        <f>VLOOKUP(C23,'Sales Master'!B$3:AA$537,26,0)</f>
        <v>1.5</v>
      </c>
      <c r="L23" s="64">
        <f>K23*G23</f>
        <v>3</v>
      </c>
      <c r="M23" s="65"/>
      <c r="N23" s="145">
        <f>VLOOKUP(C23,'Sales Master'!$B$3:$DA$2279,104,0)</f>
        <v>0</v>
      </c>
      <c r="O23" s="145">
        <f>K23-N23</f>
        <v>1.5</v>
      </c>
      <c r="P23" s="145">
        <f>O23*G23</f>
        <v>3</v>
      </c>
    </row>
    <row r="24" spans="2:16" ht="20.149999999999999" customHeight="1" x14ac:dyDescent="0.45">
      <c r="B24" s="29"/>
      <c r="C24" s="212" t="s">
        <v>2262</v>
      </c>
      <c r="D24" s="591" t="str">
        <f>VLOOKUP(C24,'Sales Master'!B$3:D$537,2,)</f>
        <v>Almond Jelly with Longan 龙眼杏仁果冻</v>
      </c>
      <c r="E24" s="591"/>
      <c r="F24" s="591"/>
      <c r="G24" s="76">
        <v>2</v>
      </c>
      <c r="H24" s="186" t="str">
        <f>VLOOKUP(C24,'Sales Master'!$B$3:$F$2488,5,0)</f>
        <v>230 GM/ Bowl</v>
      </c>
      <c r="I24" s="484" t="str">
        <f>VLOOKUP(C24,'Sales Master'!$B$3:$E$2488,4,0)</f>
        <v>DO!</v>
      </c>
      <c r="J24" s="484"/>
      <c r="K24" s="30">
        <f>VLOOKUP(C24,'Sales Master'!B$3:AA$537,26,0)</f>
        <v>2.5</v>
      </c>
      <c r="L24" s="64" t="s">
        <v>2261</v>
      </c>
      <c r="M24" s="65"/>
      <c r="N24" s="145"/>
      <c r="O24" s="145"/>
      <c r="P24" s="145"/>
    </row>
    <row r="25" spans="2:16" ht="20.149999999999999" customHeight="1" x14ac:dyDescent="0.45">
      <c r="B25" s="29"/>
      <c r="C25" s="212"/>
      <c r="D25" s="487" t="s">
        <v>2264</v>
      </c>
      <c r="E25" s="487"/>
      <c r="F25" s="487"/>
      <c r="G25" s="76">
        <v>1</v>
      </c>
      <c r="H25" s="186" t="s">
        <v>2263</v>
      </c>
      <c r="I25" s="484" t="s">
        <v>34</v>
      </c>
      <c r="J25" s="484"/>
      <c r="K25" s="30"/>
      <c r="L25" s="64" t="s">
        <v>2261</v>
      </c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87"/>
      <c r="E26" s="487"/>
      <c r="F26" s="487"/>
      <c r="G26" s="76"/>
      <c r="H26" s="56"/>
      <c r="I26" s="494"/>
      <c r="J26" s="494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87"/>
      <c r="E27" s="487"/>
      <c r="F27" s="487"/>
      <c r="G27" s="76"/>
      <c r="H27" s="165"/>
      <c r="I27" s="494"/>
      <c r="J27" s="494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G28" s="76"/>
      <c r="H28" s="165"/>
      <c r="I28" s="56"/>
      <c r="J28" s="56"/>
      <c r="K28" s="30"/>
      <c r="L28" s="64"/>
      <c r="M28" s="65"/>
      <c r="N28" s="145"/>
      <c r="O28" s="145"/>
      <c r="P28" s="145"/>
    </row>
    <row r="29" spans="2:16" ht="20.149999999999999" customHeight="1" thickBot="1" x14ac:dyDescent="0.5">
      <c r="B29" s="32"/>
      <c r="C29" s="33"/>
      <c r="D29" s="488"/>
      <c r="E29" s="488"/>
      <c r="F29" s="488"/>
      <c r="G29" s="33"/>
      <c r="H29" s="57"/>
      <c r="I29" s="459"/>
      <c r="J29" s="459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89" t="s">
        <v>13</v>
      </c>
      <c r="K31" s="490"/>
      <c r="L31" s="38">
        <f>SUM(L14:L27)</f>
        <v>80.900000000000006</v>
      </c>
      <c r="M31" s="63">
        <f>SUM(P18:P27)</f>
        <v>36.041666666666664</v>
      </c>
      <c r="N31" s="133">
        <f>M31/L31</f>
        <v>0.44550885867325912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91" t="s">
        <v>19</v>
      </c>
      <c r="K33" s="492"/>
      <c r="L33" s="41">
        <f>L31-L32</f>
        <v>80.900000000000006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7.2810000000000006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85" t="s">
        <v>21</v>
      </c>
      <c r="K35" s="486"/>
      <c r="L35" s="43">
        <f>L33+L34</f>
        <v>88.181000000000012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18:F18"/>
    <mergeCell ref="I18:J18"/>
    <mergeCell ref="D17:F17"/>
    <mergeCell ref="D20:F20"/>
    <mergeCell ref="I20:J20"/>
    <mergeCell ref="D21:F21"/>
    <mergeCell ref="I21:J21"/>
    <mergeCell ref="D26:F26"/>
    <mergeCell ref="I26:J26"/>
    <mergeCell ref="D22:F22"/>
    <mergeCell ref="D23:F23"/>
    <mergeCell ref="I22:J22"/>
    <mergeCell ref="I23:J23"/>
    <mergeCell ref="D24:F24"/>
    <mergeCell ref="I24:J24"/>
    <mergeCell ref="D25:F25"/>
    <mergeCell ref="I25:J25"/>
    <mergeCell ref="J33:K33"/>
    <mergeCell ref="J35:K35"/>
    <mergeCell ref="D27:F27"/>
    <mergeCell ref="I27:J27"/>
    <mergeCell ref="D29:F29"/>
    <mergeCell ref="I29:J29"/>
    <mergeCell ref="J31:K31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E43B2-865E-4004-BA89-9A36D91D267E}">
  <sheetPr>
    <tabColor rgb="FF7030A0"/>
    <pageSetUpPr fitToPage="1"/>
  </sheetPr>
  <dimension ref="B1:M41"/>
  <sheetViews>
    <sheetView topLeftCell="A7" workbookViewId="0">
      <selection activeCell="F11" sqref="F11:H1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2225</v>
      </c>
      <c r="J10" s="24" t="s">
        <v>27</v>
      </c>
      <c r="K10" s="464">
        <v>202501145</v>
      </c>
      <c r="L10" s="465"/>
    </row>
    <row r="11" spans="2:12" ht="20.149999999999999" customHeight="1" x14ac:dyDescent="0.45">
      <c r="B11" s="466" t="s">
        <v>2265</v>
      </c>
      <c r="C11" s="467"/>
      <c r="D11" s="468"/>
      <c r="E11" s="25"/>
      <c r="F11" s="469" t="str">
        <f>VLOOKUP(H10,'Delivery Location'!A$4:N$466,2,0)</f>
        <v>Paradise Hotpot Pte Ltd                                                                             Westgate Drive, Westgate, #03-10/11 Singapore 608532</v>
      </c>
      <c r="G11" s="470"/>
      <c r="H11" s="471"/>
      <c r="J11" s="26" t="s">
        <v>9</v>
      </c>
      <c r="K11" s="478">
        <v>45664</v>
      </c>
      <c r="L11" s="479"/>
    </row>
    <row r="12" spans="2:12" ht="20.149999999999999" customHeight="1" x14ac:dyDescent="0.45">
      <c r="B12" s="480"/>
      <c r="C12" s="453"/>
      <c r="D12" s="481"/>
      <c r="E12" s="25"/>
      <c r="F12" s="472"/>
      <c r="G12" s="473"/>
      <c r="H12" s="474"/>
      <c r="J12" s="26" t="s">
        <v>127</v>
      </c>
      <c r="K12" s="482" t="s">
        <v>2252</v>
      </c>
      <c r="L12" s="483"/>
    </row>
    <row r="13" spans="2:12" ht="20.149999999999999" customHeight="1" x14ac:dyDescent="0.45">
      <c r="B13" s="480"/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/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2" t="s">
        <v>884</v>
      </c>
      <c r="D18" s="487" t="str">
        <f>VLOOKUP(C18,'Sales Master'!B$3:D$537,2,)</f>
        <v>Coco Syrup 可可</v>
      </c>
      <c r="E18" s="487"/>
      <c r="F18" s="487"/>
      <c r="G18" s="17">
        <v>15</v>
      </c>
      <c r="H18" s="56" t="str">
        <f>VLOOKUP(C18,'Sales Master'!$B$3:$F$2488,5,0)</f>
        <v>1 Btl</v>
      </c>
      <c r="I18" s="494" t="str">
        <f>VLOOKUP(C18,'Sales Master'!$B$3:$E$2488,4,0)</f>
        <v>Hershey's</v>
      </c>
      <c r="J18" s="494"/>
      <c r="K18" s="30">
        <f>VLOOKUP(C18,'Sales Master'!$B$3:$BJ$537,61,0)</f>
        <v>5</v>
      </c>
      <c r="L18" s="31">
        <f>K18*G18</f>
        <v>75</v>
      </c>
    </row>
    <row r="19" spans="2:13" ht="20.149999999999999" customHeight="1" x14ac:dyDescent="0.45">
      <c r="B19" s="29"/>
      <c r="C19" s="212" t="s">
        <v>2226</v>
      </c>
      <c r="D19" s="487" t="str">
        <f>VLOOKUP(C19,'Sales Master'!B$3:D$537,2,)</f>
        <v>Strawberry Syrup 草莓</v>
      </c>
      <c r="E19" s="487"/>
      <c r="F19" s="487"/>
      <c r="G19" s="17">
        <v>5</v>
      </c>
      <c r="H19" s="56" t="str">
        <f>VLOOKUP(C19,'Sales Master'!$B$3:$F$2488,5,0)</f>
        <v>1 Btl</v>
      </c>
      <c r="I19" s="494" t="str">
        <f>VLOOKUP(C19,'Sales Master'!$B$3:$E$2488,4,0)</f>
        <v>Hershey's</v>
      </c>
      <c r="J19" s="494"/>
      <c r="K19" s="30">
        <f>VLOOKUP(C19,'Sales Master'!$B$3:$BJ$537,61,0)</f>
        <v>5</v>
      </c>
      <c r="L19" s="31">
        <f>K19*G19</f>
        <v>25</v>
      </c>
    </row>
    <row r="20" spans="2:13" ht="20.149999999999999" customHeight="1" x14ac:dyDescent="0.45">
      <c r="B20" s="29"/>
      <c r="C20" s="212"/>
      <c r="D20" s="498"/>
      <c r="E20" s="498"/>
      <c r="F20" s="498"/>
      <c r="G20" s="17"/>
      <c r="H20" s="56"/>
      <c r="I20" s="494"/>
      <c r="J20" s="494"/>
      <c r="K20" s="30"/>
      <c r="L20" s="31"/>
    </row>
    <row r="21" spans="2:13" ht="20.149999999999999" customHeight="1" x14ac:dyDescent="0.45">
      <c r="B21" s="29"/>
      <c r="C21" s="212"/>
      <c r="D21" s="414"/>
      <c r="E21" s="414"/>
      <c r="F21" s="414"/>
      <c r="G21" s="17"/>
      <c r="H21" s="56"/>
      <c r="I21" s="56"/>
      <c r="J21" s="56"/>
      <c r="K21" s="30"/>
      <c r="L21" s="31"/>
    </row>
    <row r="22" spans="2:13" ht="20.149999999999999" customHeight="1" x14ac:dyDescent="0.45">
      <c r="B22" s="29"/>
      <c r="C22" s="17"/>
      <c r="D22" s="487"/>
      <c r="E22" s="487"/>
      <c r="F22" s="487"/>
      <c r="G22" s="17"/>
      <c r="H22" s="56"/>
      <c r="I22" s="494"/>
      <c r="J22" s="494"/>
      <c r="K22" s="30"/>
      <c r="L22" s="31"/>
    </row>
    <row r="23" spans="2:13" ht="20.149999999999999" customHeight="1" x14ac:dyDescent="0.45">
      <c r="B23" s="29"/>
      <c r="C23" s="17"/>
      <c r="D23" s="487"/>
      <c r="E23" s="487"/>
      <c r="F23" s="487"/>
      <c r="G23" s="17"/>
      <c r="H23" s="56"/>
      <c r="I23" s="494"/>
      <c r="J23" s="494"/>
      <c r="K23" s="30"/>
      <c r="L23" s="31"/>
    </row>
    <row r="24" spans="2:13" ht="20.149999999999999" customHeight="1" x14ac:dyDescent="0.45">
      <c r="B24" s="29"/>
      <c r="C24" s="17"/>
      <c r="D24" s="487"/>
      <c r="E24" s="487"/>
      <c r="F24" s="487"/>
      <c r="G24" s="17"/>
      <c r="H24" s="56"/>
      <c r="I24" s="458"/>
      <c r="J24" s="458"/>
      <c r="K24" s="30"/>
      <c r="L24" s="31"/>
    </row>
    <row r="25" spans="2:13" ht="20.149999999999999" customHeight="1" x14ac:dyDescent="0.45">
      <c r="B25" s="29"/>
      <c r="C25" s="17"/>
      <c r="D25" s="487"/>
      <c r="E25" s="487"/>
      <c r="F25" s="487"/>
      <c r="G25" s="17"/>
      <c r="H25" s="56"/>
      <c r="I25" s="458"/>
      <c r="J25" s="458"/>
      <c r="K25" s="30"/>
      <c r="L25" s="31"/>
    </row>
    <row r="26" spans="2:13" ht="20.149999999999999" customHeight="1" x14ac:dyDescent="0.45">
      <c r="B26" s="29"/>
      <c r="C26" s="17"/>
      <c r="D26" s="487"/>
      <c r="E26" s="487"/>
      <c r="F26" s="487"/>
      <c r="G26" s="17"/>
      <c r="H26" s="17"/>
      <c r="I26" s="17"/>
      <c r="J26" s="17"/>
      <c r="K26" s="30"/>
      <c r="L26" s="31"/>
    </row>
    <row r="27" spans="2:13" ht="20.149999999999999" customHeight="1" thickBot="1" x14ac:dyDescent="0.5">
      <c r="B27" s="32"/>
      <c r="C27" s="33"/>
      <c r="D27" s="488"/>
      <c r="E27" s="488"/>
      <c r="F27" s="488"/>
      <c r="G27" s="33"/>
      <c r="H27" s="33"/>
      <c r="I27" s="33"/>
      <c r="J27" s="33"/>
      <c r="K27" s="34"/>
      <c r="L27" s="35"/>
    </row>
    <row r="28" spans="2:13" ht="20.149999999999999" customHeight="1" thickBot="1" x14ac:dyDescent="0.5">
      <c r="B28" s="36"/>
      <c r="L28" s="37"/>
    </row>
    <row r="29" spans="2:13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89" t="s">
        <v>13</v>
      </c>
      <c r="K29" s="490"/>
      <c r="L29" s="38">
        <f>SUM(L17:L27)</f>
        <v>100</v>
      </c>
      <c r="M29" s="63"/>
    </row>
    <row r="30" spans="2:13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3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91" t="s">
        <v>19</v>
      </c>
      <c r="K31" s="492"/>
      <c r="L31" s="41">
        <f>L29-L30</f>
        <v>100</v>
      </c>
    </row>
    <row r="32" spans="2:13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9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85" t="s">
        <v>21</v>
      </c>
      <c r="K33" s="486"/>
      <c r="L33" s="43">
        <f>L31+L32</f>
        <v>109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2:F22"/>
    <mergeCell ref="I22:J22"/>
    <mergeCell ref="D23:F23"/>
    <mergeCell ref="I23:J23"/>
    <mergeCell ref="D24:F24"/>
    <mergeCell ref="I24:J24"/>
    <mergeCell ref="J31:K31"/>
    <mergeCell ref="J33:K33"/>
    <mergeCell ref="D25:F25"/>
    <mergeCell ref="I25:J25"/>
    <mergeCell ref="D26:F26"/>
    <mergeCell ref="D27:F27"/>
    <mergeCell ref="J29:K29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3A7D2-5194-407A-B607-C1C2AFC79A7B}">
  <sheetPr>
    <tabColor rgb="FF7030A0"/>
    <pageSetUpPr fitToPage="1"/>
  </sheetPr>
  <dimension ref="B1:M41"/>
  <sheetViews>
    <sheetView topLeftCell="A15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2234</v>
      </c>
      <c r="J10" s="24" t="s">
        <v>27</v>
      </c>
      <c r="K10" s="464">
        <v>202501210</v>
      </c>
      <c r="L10" s="465"/>
    </row>
    <row r="11" spans="2:12" ht="20.149999999999999" customHeight="1" x14ac:dyDescent="0.45">
      <c r="B11" s="466" t="s">
        <v>2236</v>
      </c>
      <c r="C11" s="467"/>
      <c r="D11" s="468"/>
      <c r="E11" s="25"/>
      <c r="F11" s="469" t="str">
        <f>VLOOKUP(H10,'Delivery Location'!A$4:N$466,2,0)</f>
        <v>Old Chang Kee Singapore Pte. Ltd.                   2 Woodlands Terrace,                 Singapore 738427</v>
      </c>
      <c r="G11" s="470"/>
      <c r="H11" s="471"/>
      <c r="J11" s="26" t="s">
        <v>9</v>
      </c>
      <c r="K11" s="478">
        <v>45666</v>
      </c>
      <c r="L11" s="479"/>
    </row>
    <row r="12" spans="2:12" ht="20.149999999999999" customHeight="1" x14ac:dyDescent="0.45">
      <c r="B12" s="480"/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/>
      <c r="C13" s="453"/>
      <c r="D13" s="481"/>
      <c r="E13" s="25"/>
      <c r="F13" s="472"/>
      <c r="G13" s="473"/>
      <c r="H13" s="474"/>
      <c r="J13" s="26" t="s">
        <v>10</v>
      </c>
      <c r="K13" s="482" t="s">
        <v>451</v>
      </c>
      <c r="L13" s="483"/>
    </row>
    <row r="14" spans="2:12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/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2" t="s">
        <v>1063</v>
      </c>
      <c r="D18" s="556" t="str">
        <f>VLOOKUP(C18,'Sales Master'!B$3:D$537,2,)</f>
        <v>Chendol CUSTOM MADE 浆咯</v>
      </c>
      <c r="E18" s="556"/>
      <c r="F18" s="556"/>
      <c r="G18" s="17">
        <v>2</v>
      </c>
      <c r="H18" s="56" t="str">
        <f>VLOOKUP(C18,'Sales Master'!$B$3:$F$2488,5,0)</f>
        <v>NW(1.5:0.5) 2kg/ Pkt包</v>
      </c>
      <c r="I18" s="494" t="str">
        <f>VLOOKUP(C18,'Sales Master'!$B$3:$E$2488,4,0)</f>
        <v>DO!</v>
      </c>
      <c r="J18" s="494"/>
      <c r="K18" s="30">
        <f>VLOOKUP(C18,'Sales Master'!$B$3:$BS$537,70,0)</f>
        <v>12</v>
      </c>
      <c r="L18" s="31">
        <f>K18*G18</f>
        <v>24</v>
      </c>
    </row>
    <row r="19" spans="2:13" ht="20.149999999999999" customHeight="1" x14ac:dyDescent="0.45">
      <c r="B19" s="29"/>
      <c r="C19" s="212" t="s">
        <v>2237</v>
      </c>
      <c r="D19" s="497" t="str">
        <f>VLOOKUP(C19,'Sales Master'!B$3:D$537,2,)</f>
        <v>3 Colours Taro/ Sweet Potato Ball</v>
      </c>
      <c r="E19" s="497"/>
      <c r="F19" s="497"/>
      <c r="G19" s="17">
        <v>4</v>
      </c>
      <c r="H19" s="56" t="str">
        <f>VLOOKUP(C19,'Sales Master'!$B$3:$F$2488,5,0)</f>
        <v>600 GM/ Bag包</v>
      </c>
      <c r="I19" s="494" t="str">
        <f>VLOOKUP(C19,'Sales Master'!$B$3:$E$2488,4,0)</f>
        <v>DO!</v>
      </c>
      <c r="J19" s="494"/>
      <c r="K19" s="30">
        <f>VLOOKUP(C19,'Sales Master'!$B$3:$BS$537,70,0)</f>
        <v>10</v>
      </c>
      <c r="L19" s="31">
        <f>K19*G19</f>
        <v>40</v>
      </c>
    </row>
    <row r="20" spans="2:13" ht="20.149999999999999" customHeight="1" x14ac:dyDescent="0.45">
      <c r="B20" s="29"/>
      <c r="C20" s="212" t="s">
        <v>732</v>
      </c>
      <c r="D20" s="487" t="str">
        <f>VLOOKUP(C20,'Sales Master'!B$3:D$537,2,)</f>
        <v>3Q Konjac Jelly</v>
      </c>
      <c r="E20" s="487"/>
      <c r="F20" s="487"/>
      <c r="G20" s="17">
        <v>2</v>
      </c>
      <c r="H20" s="56" t="str">
        <f>VLOOKUP(C20,'Sales Master'!$B$3:$F$2488,5,0)</f>
        <v>4 KG/ Tub桶</v>
      </c>
      <c r="I20" s="494" t="str">
        <f>VLOOKUP(C20,'Sales Master'!$B$3:$E$2488,4,0)</f>
        <v>T1</v>
      </c>
      <c r="J20" s="494"/>
      <c r="K20" s="30">
        <f>VLOOKUP(C20,'Sales Master'!$B$3:$BS$537,70,0)</f>
        <v>15</v>
      </c>
      <c r="L20" s="31">
        <f>K20*G20</f>
        <v>30</v>
      </c>
    </row>
    <row r="21" spans="2:13" ht="20.149999999999999" customHeight="1" x14ac:dyDescent="0.45">
      <c r="B21" s="29"/>
      <c r="C21" s="212" t="s">
        <v>735</v>
      </c>
      <c r="D21" s="533" t="str">
        <f>VLOOKUP(C21,'Sales Master'!B$3:D$537,2,)</f>
        <v>Honey Pearl - Black 蜜糖珍珠-黑</v>
      </c>
      <c r="E21" s="533"/>
      <c r="F21" s="533"/>
      <c r="G21" s="17">
        <v>2</v>
      </c>
      <c r="H21" s="56" t="str">
        <f>VLOOKUP(C21,'Sales Master'!$B$3:$F$2488,5,0)</f>
        <v>1 KG/ Bag包</v>
      </c>
      <c r="I21" s="494" t="str">
        <f>VLOOKUP(C21,'Sales Master'!$B$3:$E$2488,4,0)</f>
        <v>-</v>
      </c>
      <c r="J21" s="494"/>
      <c r="K21" s="30">
        <f>VLOOKUP(C21,'Sales Master'!$B$3:$BS$537,70,0)</f>
        <v>8</v>
      </c>
      <c r="L21" s="31">
        <f>K21*G21</f>
        <v>16</v>
      </c>
    </row>
    <row r="22" spans="2:13" ht="20.149999999999999" customHeight="1" x14ac:dyDescent="0.45">
      <c r="B22" s="29"/>
      <c r="C22" s="17"/>
      <c r="D22" s="487"/>
      <c r="E22" s="487"/>
      <c r="F22" s="487"/>
      <c r="G22" s="17"/>
      <c r="H22" s="56"/>
      <c r="I22" s="494"/>
      <c r="J22" s="494"/>
      <c r="K22" s="30"/>
      <c r="L22" s="31"/>
    </row>
    <row r="23" spans="2:13" ht="20.149999999999999" customHeight="1" x14ac:dyDescent="0.45">
      <c r="B23" s="29"/>
      <c r="C23" s="17"/>
      <c r="D23" s="487"/>
      <c r="E23" s="487"/>
      <c r="F23" s="487"/>
      <c r="G23" s="17"/>
      <c r="H23" s="56"/>
      <c r="I23" s="494"/>
      <c r="J23" s="494"/>
      <c r="K23" s="30"/>
      <c r="L23" s="31"/>
    </row>
    <row r="24" spans="2:13" ht="20.149999999999999" customHeight="1" x14ac:dyDescent="0.45">
      <c r="B24" s="29"/>
      <c r="C24" s="17"/>
      <c r="D24" s="487"/>
      <c r="E24" s="487"/>
      <c r="F24" s="487"/>
      <c r="G24" s="17"/>
      <c r="H24" s="56"/>
      <c r="I24" s="458"/>
      <c r="J24" s="458"/>
      <c r="K24" s="30"/>
      <c r="L24" s="31"/>
    </row>
    <row r="25" spans="2:13" ht="20.149999999999999" customHeight="1" x14ac:dyDescent="0.45">
      <c r="B25" s="29"/>
      <c r="C25" s="17"/>
      <c r="D25" s="487"/>
      <c r="E25" s="487"/>
      <c r="F25" s="487"/>
      <c r="G25" s="17"/>
      <c r="H25" s="56"/>
      <c r="I25" s="458"/>
      <c r="J25" s="458"/>
      <c r="K25" s="30"/>
      <c r="L25" s="31"/>
    </row>
    <row r="26" spans="2:13" ht="20.149999999999999" customHeight="1" x14ac:dyDescent="0.45">
      <c r="B26" s="29"/>
      <c r="C26" s="17"/>
      <c r="D26" s="487"/>
      <c r="E26" s="487"/>
      <c r="F26" s="487"/>
      <c r="G26" s="17"/>
      <c r="H26" s="17"/>
      <c r="I26" s="17"/>
      <c r="J26" s="17"/>
      <c r="K26" s="30"/>
      <c r="L26" s="31"/>
    </row>
    <row r="27" spans="2:13" ht="20.149999999999999" customHeight="1" thickBot="1" x14ac:dyDescent="0.5">
      <c r="B27" s="32"/>
      <c r="C27" s="33"/>
      <c r="D27" s="488"/>
      <c r="E27" s="488"/>
      <c r="F27" s="488"/>
      <c r="G27" s="33"/>
      <c r="H27" s="33"/>
      <c r="I27" s="33"/>
      <c r="J27" s="33"/>
      <c r="K27" s="34"/>
      <c r="L27" s="35"/>
    </row>
    <row r="28" spans="2:13" ht="20.149999999999999" customHeight="1" thickBot="1" x14ac:dyDescent="0.5">
      <c r="B28" s="36"/>
      <c r="L28" s="37"/>
    </row>
    <row r="29" spans="2:13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89" t="s">
        <v>13</v>
      </c>
      <c r="K29" s="490"/>
      <c r="L29" s="38">
        <f>SUM(L17:L27)</f>
        <v>110</v>
      </c>
      <c r="M29" s="63"/>
    </row>
    <row r="30" spans="2:13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3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91" t="s">
        <v>19</v>
      </c>
      <c r="K31" s="492"/>
      <c r="L31" s="41">
        <f>L29-L30</f>
        <v>110</v>
      </c>
    </row>
    <row r="32" spans="2:13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9.9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85" t="s">
        <v>21</v>
      </c>
      <c r="K33" s="486"/>
      <c r="L33" s="43">
        <f>L31+L32</f>
        <v>119.9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6"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0:F20"/>
    <mergeCell ref="I20:J20"/>
    <mergeCell ref="D22:F22"/>
    <mergeCell ref="I22:J22"/>
    <mergeCell ref="I18:J18"/>
    <mergeCell ref="J33:K33"/>
    <mergeCell ref="D18:F18"/>
    <mergeCell ref="D26:F26"/>
    <mergeCell ref="D27:F27"/>
    <mergeCell ref="J29:K29"/>
    <mergeCell ref="J31:K31"/>
    <mergeCell ref="D19:F19"/>
    <mergeCell ref="I19:J19"/>
    <mergeCell ref="D23:F23"/>
    <mergeCell ref="I23:J23"/>
    <mergeCell ref="D24:F24"/>
    <mergeCell ref="I24:J24"/>
    <mergeCell ref="D25:F25"/>
    <mergeCell ref="I25:J25"/>
    <mergeCell ref="D21:F21"/>
    <mergeCell ref="I21:J21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33A75-23F1-4F25-B631-5ED6FC8A5DE7}">
  <sheetPr>
    <tabColor rgb="FFFFC000"/>
    <pageSetUpPr fitToPage="1"/>
  </sheetPr>
  <dimension ref="B1:V41"/>
  <sheetViews>
    <sheetView topLeftCell="A26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2269</v>
      </c>
      <c r="J10" s="24" t="s">
        <v>27</v>
      </c>
      <c r="K10" s="464">
        <v>202504255</v>
      </c>
      <c r="L10" s="465"/>
    </row>
    <row r="11" spans="2:14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>FOOD REPUBLIC PTE LTD                                  Serangoon Nex@ICE SHOP                    23, Serangoon Central #B2-63                      Singapore 550683</v>
      </c>
      <c r="G11" s="470"/>
      <c r="H11" s="471"/>
      <c r="J11" s="26" t="s">
        <v>9</v>
      </c>
      <c r="K11" s="478">
        <v>45757</v>
      </c>
      <c r="L11" s="479"/>
    </row>
    <row r="12" spans="2:14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>
        <v>4500363423</v>
      </c>
      <c r="L12" s="483"/>
      <c r="N12" s="19" t="s">
        <v>968</v>
      </c>
    </row>
    <row r="13" spans="2:14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1272</v>
      </c>
    </row>
    <row r="14" spans="2:14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  <c r="N14" s="19" t="s">
        <v>1158</v>
      </c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>
        <v>520695</v>
      </c>
      <c r="C18" s="212" t="str">
        <f>VLOOKUP(B18,'Sales Master'!A$3:B$537,2,0)</f>
        <v>P3001B</v>
      </c>
      <c r="D18" s="487" t="str">
        <f>VLOOKUP(C18,'Sales Master'!B$3:D$537,2,)</f>
        <v>Atap Seeds in Syrup 亚嗒子</v>
      </c>
      <c r="E18" s="487"/>
      <c r="F18" s="487"/>
      <c r="G18" s="76">
        <v>5</v>
      </c>
      <c r="H18" s="183" t="str">
        <f>VLOOKUP(C18,'Sales Master'!$B$3:$F$2420,5,0)</f>
        <v>NW(1.6:0.6) 2.2kg/ Bag包</v>
      </c>
      <c r="I18" s="513" t="str">
        <f>VLOOKUP(C18,'Sales Master'!$B$3:$E$2420,4,0)</f>
        <v>DO!</v>
      </c>
      <c r="J18" s="513"/>
      <c r="K18" s="83">
        <f>VLOOKUP(C18,'Sales Master'!B$3:I$537,8,0)</f>
        <v>10</v>
      </c>
      <c r="L18" s="84">
        <f>K18*G18</f>
        <v>50</v>
      </c>
      <c r="N18" s="145">
        <f>VLOOKUP(C18,'Sales Master'!$B$3:$DA$2279,104,0)</f>
        <v>7.3</v>
      </c>
      <c r="O18" s="145">
        <f>K18-N18</f>
        <v>2.7</v>
      </c>
      <c r="P18" s="145">
        <f>O18*G18</f>
        <v>13.5</v>
      </c>
      <c r="R18" s="170">
        <f>N18*G18*0.07</f>
        <v>2.5550000000000002</v>
      </c>
      <c r="S18" s="170">
        <f>N18*G18*0.08</f>
        <v>2.92</v>
      </c>
      <c r="T18" s="93"/>
      <c r="U18" s="93"/>
      <c r="V18" s="93"/>
    </row>
    <row r="19" spans="2:22" ht="20.149999999999999" customHeight="1" x14ac:dyDescent="0.45">
      <c r="B19" s="58">
        <v>520710</v>
      </c>
      <c r="C19" s="212" t="str">
        <f>VLOOKUP(B19,'Sales Master'!A$3:B$537,2,0)</f>
        <v>P4015</v>
      </c>
      <c r="D19" s="487" t="str">
        <f>VLOOKUP(C19,'Sales Master'!B$3:D$537,2,)</f>
        <v>Whole Corn 玉米粒</v>
      </c>
      <c r="E19" s="487"/>
      <c r="F19" s="487"/>
      <c r="G19" s="76">
        <v>1</v>
      </c>
      <c r="H19" s="183" t="str">
        <f>VLOOKUP(C19,'Sales Master'!$B$3:$F$2420,5,0)</f>
        <v>425 GM x 24/ Ctn箱</v>
      </c>
      <c r="I19" s="513" t="str">
        <f>VLOOKUP(C19,'Sales Master'!$B$3:$E$2420,4,0)</f>
        <v>Statue</v>
      </c>
      <c r="J19" s="513"/>
      <c r="K19" s="83">
        <f>VLOOKUP(C19,'Sales Master'!B$3:I$537,8,0)</f>
        <v>23</v>
      </c>
      <c r="L19" s="84">
        <f>K19*G19</f>
        <v>23</v>
      </c>
      <c r="N19" s="145">
        <f>VLOOKUP(C19,'Sales Master'!$B$3:$DA$2279,104,0)</f>
        <v>18</v>
      </c>
      <c r="O19" s="145">
        <f>K19-N19</f>
        <v>5</v>
      </c>
      <c r="P19" s="145">
        <f>O19*G19</f>
        <v>5</v>
      </c>
      <c r="R19" s="170"/>
      <c r="S19" s="170"/>
      <c r="T19" s="93"/>
      <c r="U19" s="93"/>
      <c r="V19" s="93"/>
    </row>
    <row r="20" spans="2:22" ht="20.149999999999999" customHeight="1" x14ac:dyDescent="0.45">
      <c r="B20" s="29"/>
      <c r="C20" s="212"/>
      <c r="D20" s="487"/>
      <c r="E20" s="487"/>
      <c r="F20" s="487"/>
      <c r="G20" s="76"/>
      <c r="H20" s="183"/>
      <c r="I20" s="513"/>
      <c r="J20" s="513"/>
      <c r="K20" s="83"/>
      <c r="L20" s="84"/>
      <c r="N20" s="145"/>
      <c r="O20" s="145"/>
      <c r="P20" s="145"/>
    </row>
    <row r="21" spans="2:22" ht="20.149999999999999" customHeight="1" x14ac:dyDescent="0.45">
      <c r="B21" s="29"/>
      <c r="C21" s="212"/>
      <c r="D21" s="487"/>
      <c r="E21" s="487"/>
      <c r="F21" s="487"/>
      <c r="G21" s="76"/>
      <c r="H21" s="183"/>
      <c r="I21" s="513"/>
      <c r="J21" s="513"/>
      <c r="K21" s="83"/>
      <c r="L21" s="84"/>
      <c r="N21" s="145"/>
      <c r="O21" s="145"/>
      <c r="P21" s="145"/>
    </row>
    <row r="22" spans="2:22" ht="20.149999999999999" customHeight="1" x14ac:dyDescent="0.45">
      <c r="B22" s="29"/>
      <c r="C22" s="212"/>
      <c r="D22" s="487"/>
      <c r="E22" s="487"/>
      <c r="F22" s="487"/>
      <c r="G22" s="76"/>
      <c r="H22" s="183"/>
      <c r="I22" s="513"/>
      <c r="J22" s="513"/>
      <c r="K22" s="83"/>
      <c r="L22" s="84"/>
      <c r="N22" s="145"/>
      <c r="O22" s="145"/>
      <c r="P22" s="145"/>
    </row>
    <row r="23" spans="2:22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31"/>
    </row>
    <row r="24" spans="2:22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31"/>
    </row>
    <row r="25" spans="2:22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31"/>
    </row>
    <row r="26" spans="2:22" ht="20.149999999999999" customHeight="1" x14ac:dyDescent="0.45">
      <c r="B26" s="29"/>
      <c r="C26" s="17"/>
      <c r="D26" s="487"/>
      <c r="E26" s="487"/>
      <c r="F26" s="487"/>
      <c r="G26" s="76"/>
      <c r="H26" s="56"/>
      <c r="I26" s="494"/>
      <c r="J26" s="494"/>
      <c r="K26" s="30"/>
      <c r="L26" s="31"/>
    </row>
    <row r="27" spans="2:22" ht="20.149999999999999" customHeight="1" x14ac:dyDescent="0.45">
      <c r="B27" s="104"/>
      <c r="C27" s="105"/>
      <c r="D27" s="514"/>
      <c r="E27" s="514"/>
      <c r="F27" s="514"/>
      <c r="G27" s="105"/>
      <c r="H27" s="105"/>
      <c r="I27" s="124"/>
      <c r="J27" s="124"/>
      <c r="K27" s="108"/>
      <c r="L27" s="125"/>
    </row>
    <row r="28" spans="2:22" ht="20.149999999999999" customHeight="1" thickBot="1" x14ac:dyDescent="0.5">
      <c r="B28" s="36"/>
      <c r="L28" s="37"/>
    </row>
    <row r="29" spans="2:22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89" t="s">
        <v>13</v>
      </c>
      <c r="K29" s="490"/>
      <c r="L29" s="38">
        <f>SUM(L18:L28)</f>
        <v>73</v>
      </c>
      <c r="M29" s="63">
        <f>SUM(P18:P29)</f>
        <v>18.5</v>
      </c>
      <c r="N29" s="133">
        <f>M29/L29</f>
        <v>0.25342465753424659</v>
      </c>
    </row>
    <row r="30" spans="2:22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22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91" t="s">
        <v>19</v>
      </c>
      <c r="K31" s="492"/>
      <c r="L31" s="41">
        <f>L29-L30</f>
        <v>73</v>
      </c>
    </row>
    <row r="32" spans="2:22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6.5699999999999994</v>
      </c>
    </row>
    <row r="33" spans="2:12" ht="20.149999999999999" customHeight="1" thickBot="1" x14ac:dyDescent="0.5">
      <c r="B33" s="10" t="s">
        <v>676</v>
      </c>
      <c r="C33" s="6"/>
      <c r="D33" s="6"/>
      <c r="E33" s="6"/>
      <c r="F33" s="6"/>
      <c r="G33" s="6"/>
      <c r="H33" s="6"/>
      <c r="I33" s="6"/>
      <c r="J33" s="485" t="s">
        <v>21</v>
      </c>
      <c r="K33" s="486"/>
      <c r="L33" s="43">
        <f>L31+L32</f>
        <v>79.569999999999993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144" t="s">
        <v>666</v>
      </c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7">
    <mergeCell ref="D24:F24"/>
    <mergeCell ref="I24:J24"/>
    <mergeCell ref="J31:K31"/>
    <mergeCell ref="J33:K33"/>
    <mergeCell ref="D25:F25"/>
    <mergeCell ref="I25:J25"/>
    <mergeCell ref="D26:F26"/>
    <mergeCell ref="I26:J26"/>
    <mergeCell ref="D27:F27"/>
    <mergeCell ref="J29:K29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19">
    <cfRule type="duplicateValues" dxfId="37" priority="1"/>
  </conditionalFormatting>
  <conditionalFormatting sqref="C20:C21">
    <cfRule type="duplicateValues" dxfId="36" priority="6"/>
  </conditionalFormatting>
  <conditionalFormatting sqref="C22">
    <cfRule type="duplicateValues" dxfId="35" priority="4"/>
  </conditionalFormatting>
  <conditionalFormatting sqref="C23">
    <cfRule type="duplicateValues" dxfId="34" priority="3"/>
  </conditionalFormatting>
  <conditionalFormatting sqref="C24">
    <cfRule type="duplicateValues" dxfId="33" priority="2"/>
  </conditionalFormatting>
  <conditionalFormatting sqref="C26">
    <cfRule type="duplicateValues" dxfId="32" priority="5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7A800-CC4D-4635-9A84-91B09A503ADB}">
  <sheetPr>
    <tabColor rgb="FFFFC000"/>
    <pageSetUpPr fitToPage="1"/>
  </sheetPr>
  <dimension ref="B1:V41"/>
  <sheetViews>
    <sheetView topLeftCell="B23" workbookViewId="0">
      <selection activeCell="G19" sqref="G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2269</v>
      </c>
      <c r="J10" s="24" t="s">
        <v>27</v>
      </c>
      <c r="K10" s="464">
        <v>202504254</v>
      </c>
      <c r="L10" s="465"/>
    </row>
    <row r="11" spans="2:14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>FOOD REPUBLIC PTE LTD                                  Serangoon Nex@ICE SHOP                    23, Serangoon Central #B2-63                      Singapore 550683</v>
      </c>
      <c r="G11" s="470"/>
      <c r="H11" s="471"/>
      <c r="J11" s="26" t="s">
        <v>9</v>
      </c>
      <c r="K11" s="478">
        <v>45757</v>
      </c>
      <c r="L11" s="479"/>
    </row>
    <row r="12" spans="2:14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>
        <v>4500363422</v>
      </c>
      <c r="L12" s="483"/>
      <c r="N12" s="19" t="s">
        <v>968</v>
      </c>
    </row>
    <row r="13" spans="2:14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1272</v>
      </c>
    </row>
    <row r="14" spans="2:14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  <c r="N14" s="19" t="s">
        <v>1158</v>
      </c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>
        <v>520711</v>
      </c>
      <c r="C18" s="212" t="str">
        <f>VLOOKUP(B18,'Sales Master'!A$3:B$537,2,0)</f>
        <v>P4014</v>
      </c>
      <c r="D18" s="487" t="str">
        <f>VLOOKUP(C18,'Sales Master'!B$3:D$537,2,)</f>
        <v>Cream Corn 玉米浆</v>
      </c>
      <c r="E18" s="487"/>
      <c r="F18" s="487"/>
      <c r="G18" s="76">
        <v>2</v>
      </c>
      <c r="H18" s="183" t="str">
        <f>VLOOKUP(C18,'Sales Master'!$B$3:$F$2420,5,0)</f>
        <v>410 GM x 24/ Ctn箱</v>
      </c>
      <c r="I18" s="513" t="str">
        <f>VLOOKUP(C18,'Sales Master'!$B$3:$E$2420,4,0)</f>
        <v>Statue</v>
      </c>
      <c r="J18" s="513"/>
      <c r="K18" s="83">
        <f>VLOOKUP(C18,'Sales Master'!B$3:I$537,8,0)</f>
        <v>23</v>
      </c>
      <c r="L18" s="84">
        <f>K18*G18</f>
        <v>46</v>
      </c>
      <c r="N18" s="145">
        <f>VLOOKUP(C18,'Sales Master'!$B$3:$DA$2279,104,0)</f>
        <v>18</v>
      </c>
      <c r="O18" s="145">
        <f>K18-N18</f>
        <v>5</v>
      </c>
      <c r="P18" s="145">
        <f>O18*G18</f>
        <v>10</v>
      </c>
      <c r="R18" s="170">
        <f>N18*G18*0.07</f>
        <v>2.5200000000000005</v>
      </c>
      <c r="S18" s="170">
        <f>N18*G18*0.08</f>
        <v>2.88</v>
      </c>
      <c r="T18" s="93"/>
      <c r="U18" s="93"/>
      <c r="V18" s="93"/>
    </row>
    <row r="19" spans="2:22" ht="20.149999999999999" customHeight="1" x14ac:dyDescent="0.45">
      <c r="B19" s="58"/>
      <c r="C19" s="212"/>
      <c r="D19" s="487"/>
      <c r="E19" s="487"/>
      <c r="F19" s="487"/>
      <c r="G19" s="76"/>
      <c r="H19" s="183"/>
      <c r="I19" s="513"/>
      <c r="J19" s="513"/>
      <c r="K19" s="83"/>
      <c r="L19" s="84"/>
      <c r="N19" s="145"/>
      <c r="O19" s="145"/>
      <c r="P19" s="145"/>
      <c r="R19" s="170"/>
      <c r="S19" s="170"/>
      <c r="T19" s="93"/>
      <c r="U19" s="93"/>
      <c r="V19" s="93"/>
    </row>
    <row r="20" spans="2:22" ht="20.149999999999999" customHeight="1" x14ac:dyDescent="0.45">
      <c r="B20" s="29"/>
      <c r="C20" s="212"/>
      <c r="D20" s="487"/>
      <c r="E20" s="487"/>
      <c r="F20" s="487"/>
      <c r="G20" s="76"/>
      <c r="H20" s="183"/>
      <c r="I20" s="513"/>
      <c r="J20" s="513"/>
      <c r="K20" s="83"/>
      <c r="L20" s="84"/>
      <c r="N20" s="145"/>
      <c r="O20" s="145"/>
      <c r="P20" s="145"/>
    </row>
    <row r="21" spans="2:22" ht="20.149999999999999" customHeight="1" x14ac:dyDescent="0.45">
      <c r="B21" s="29"/>
      <c r="C21" s="212"/>
      <c r="D21" s="487"/>
      <c r="E21" s="487"/>
      <c r="F21" s="487"/>
      <c r="G21" s="76"/>
      <c r="H21" s="183"/>
      <c r="I21" s="513"/>
      <c r="J21" s="513"/>
      <c r="K21" s="83"/>
      <c r="L21" s="84"/>
      <c r="N21" s="145"/>
      <c r="O21" s="145"/>
      <c r="P21" s="145"/>
    </row>
    <row r="22" spans="2:22" ht="20.149999999999999" customHeight="1" x14ac:dyDescent="0.45">
      <c r="B22" s="29"/>
      <c r="C22" s="212"/>
      <c r="D22" s="487"/>
      <c r="E22" s="487"/>
      <c r="F22" s="487"/>
      <c r="G22" s="76"/>
      <c r="H22" s="183"/>
      <c r="I22" s="513"/>
      <c r="J22" s="513"/>
      <c r="K22" s="83"/>
      <c r="L22" s="84"/>
      <c r="N22" s="145"/>
      <c r="O22" s="145"/>
      <c r="P22" s="145"/>
    </row>
    <row r="23" spans="2:22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31"/>
    </row>
    <row r="24" spans="2:22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31"/>
    </row>
    <row r="25" spans="2:22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31"/>
    </row>
    <row r="26" spans="2:22" ht="20.149999999999999" customHeight="1" x14ac:dyDescent="0.45">
      <c r="B26" s="29"/>
      <c r="C26" s="17"/>
      <c r="D26" s="487"/>
      <c r="E26" s="487"/>
      <c r="F26" s="487"/>
      <c r="G26" s="76"/>
      <c r="H26" s="56"/>
      <c r="I26" s="494"/>
      <c r="J26" s="494"/>
      <c r="K26" s="30"/>
      <c r="L26" s="31"/>
    </row>
    <row r="27" spans="2:22" ht="20.149999999999999" customHeight="1" x14ac:dyDescent="0.45">
      <c r="B27" s="104"/>
      <c r="C27" s="105"/>
      <c r="D27" s="514"/>
      <c r="E27" s="514"/>
      <c r="F27" s="514"/>
      <c r="G27" s="105"/>
      <c r="H27" s="105"/>
      <c r="I27" s="124"/>
      <c r="J27" s="124"/>
      <c r="K27" s="108"/>
      <c r="L27" s="125"/>
    </row>
    <row r="28" spans="2:22" ht="20.149999999999999" customHeight="1" thickBot="1" x14ac:dyDescent="0.5">
      <c r="B28" s="36"/>
      <c r="L28" s="37"/>
    </row>
    <row r="29" spans="2:22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89" t="s">
        <v>13</v>
      </c>
      <c r="K29" s="490"/>
      <c r="L29" s="38">
        <f>SUM(L18:L28)</f>
        <v>46</v>
      </c>
      <c r="M29" s="63">
        <f>SUM(P18:P29)</f>
        <v>10</v>
      </c>
      <c r="N29" s="133">
        <f>M29/L29</f>
        <v>0.21739130434782608</v>
      </c>
    </row>
    <row r="30" spans="2:22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22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91" t="s">
        <v>19</v>
      </c>
      <c r="K31" s="492"/>
      <c r="L31" s="41">
        <f>L29-L30</f>
        <v>46</v>
      </c>
    </row>
    <row r="32" spans="2:22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4.1399999999999997</v>
      </c>
    </row>
    <row r="33" spans="2:12" ht="20.149999999999999" customHeight="1" thickBot="1" x14ac:dyDescent="0.5">
      <c r="B33" s="10" t="s">
        <v>676</v>
      </c>
      <c r="C33" s="6"/>
      <c r="D33" s="6"/>
      <c r="E33" s="6"/>
      <c r="F33" s="6"/>
      <c r="G33" s="6"/>
      <c r="H33" s="6"/>
      <c r="I33" s="6"/>
      <c r="J33" s="485" t="s">
        <v>21</v>
      </c>
      <c r="K33" s="486"/>
      <c r="L33" s="43">
        <f>L31+L32</f>
        <v>50.14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144" t="s">
        <v>666</v>
      </c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7">
    <mergeCell ref="D24:F24"/>
    <mergeCell ref="I24:J24"/>
    <mergeCell ref="J31:K31"/>
    <mergeCell ref="J33:K33"/>
    <mergeCell ref="D25:F25"/>
    <mergeCell ref="I25:J25"/>
    <mergeCell ref="D26:F26"/>
    <mergeCell ref="I26:J26"/>
    <mergeCell ref="D27:F27"/>
    <mergeCell ref="J29:K29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19">
    <cfRule type="duplicateValues" dxfId="31" priority="1"/>
  </conditionalFormatting>
  <conditionalFormatting sqref="C20:C21">
    <cfRule type="duplicateValues" dxfId="30" priority="6"/>
  </conditionalFormatting>
  <conditionalFormatting sqref="C22">
    <cfRule type="duplicateValues" dxfId="29" priority="4"/>
  </conditionalFormatting>
  <conditionalFormatting sqref="C23">
    <cfRule type="duplicateValues" dxfId="28" priority="3"/>
  </conditionalFormatting>
  <conditionalFormatting sqref="C24">
    <cfRule type="duplicateValues" dxfId="27" priority="2"/>
  </conditionalFormatting>
  <conditionalFormatting sqref="C26">
    <cfRule type="duplicateValues" dxfId="26" priority="5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09BF2-8DD7-47B0-A6BC-EE1081220350}">
  <sheetPr>
    <tabColor theme="7"/>
    <pageSetUpPr fitToPage="1"/>
  </sheetPr>
  <dimension ref="B1:P1048555"/>
  <sheetViews>
    <sheetView topLeftCell="B31" zoomScaleNormal="10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179687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1" width="12.54296875" style="19" customWidth="1"/>
    <col min="12" max="12" width="13.453125" style="19" bestFit="1" customWidth="1"/>
    <col min="13" max="16384" width="12.54296875" style="19"/>
  </cols>
  <sheetData>
    <row r="1" spans="2:16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6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6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6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6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6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6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6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2281</v>
      </c>
      <c r="J10" s="24" t="s">
        <v>27</v>
      </c>
      <c r="K10" s="464">
        <v>202504286</v>
      </c>
      <c r="L10" s="465"/>
    </row>
    <row r="11" spans="2:16" ht="20.149999999999999" customHeight="1" x14ac:dyDescent="0.45">
      <c r="B11" s="466"/>
      <c r="C11" s="467"/>
      <c r="D11" s="468"/>
      <c r="E11" s="25"/>
      <c r="F11" s="469" t="str">
        <f>VLOOKUP(H10,'Delivery Location'!A$4:N$466,2,0)</f>
        <v>XiaoYan Desserts                                             7 Fraser Street #B3-20,                             Duo Galleria, Singapore 189356</v>
      </c>
      <c r="G11" s="470"/>
      <c r="H11" s="471"/>
      <c r="J11" s="26" t="s">
        <v>9</v>
      </c>
      <c r="K11" s="504">
        <v>45758</v>
      </c>
      <c r="L11" s="505"/>
      <c r="N11" s="532" t="s">
        <v>1075</v>
      </c>
      <c r="O11" s="532"/>
      <c r="P11" s="532"/>
    </row>
    <row r="12" spans="2:16" ht="20.149999999999999" customHeight="1" x14ac:dyDescent="0.45">
      <c r="B12" s="480"/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6" ht="20.149999999999999" customHeight="1" x14ac:dyDescent="0.45">
      <c r="B13" s="480"/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6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6" ht="18" customHeight="1" thickBot="1" x14ac:dyDescent="0.5">
      <c r="B15" s="50"/>
      <c r="C15" s="51"/>
      <c r="D15" s="52"/>
      <c r="E15" s="21"/>
      <c r="F15" s="475"/>
      <c r="G15" s="476"/>
      <c r="H15" s="477"/>
      <c r="J15" s="27" t="s">
        <v>11</v>
      </c>
      <c r="K15" s="119" t="s">
        <v>522</v>
      </c>
      <c r="L15" s="118"/>
    </row>
    <row r="16" spans="2:16" ht="19" thickBot="1" x14ac:dyDescent="0.5">
      <c r="J16" s="17"/>
      <c r="K16" s="19" t="s">
        <v>439</v>
      </c>
    </row>
    <row r="17" spans="2:16" ht="30" customHeight="1" thickBot="1" x14ac:dyDescent="0.5">
      <c r="B17" s="109" t="s">
        <v>2</v>
      </c>
      <c r="C17" s="110" t="s">
        <v>3</v>
      </c>
      <c r="D17" s="531" t="s">
        <v>4</v>
      </c>
      <c r="E17" s="531"/>
      <c r="F17" s="531"/>
      <c r="G17" s="112" t="s">
        <v>384</v>
      </c>
      <c r="H17" s="110" t="s">
        <v>29</v>
      </c>
      <c r="I17" s="531" t="s">
        <v>53</v>
      </c>
      <c r="J17" s="531"/>
      <c r="K17" s="110" t="s">
        <v>5</v>
      </c>
      <c r="L17" s="111" t="s">
        <v>6</v>
      </c>
      <c r="M17" s="28"/>
    </row>
    <row r="18" spans="2:16" ht="20" customHeight="1" x14ac:dyDescent="0.45">
      <c r="B18" s="258"/>
      <c r="C18" s="212" t="s">
        <v>831</v>
      </c>
      <c r="D18" s="446" t="str">
        <f>VLOOKUP(C18,'Sales Master'!B$3:D$537,2,)</f>
        <v>Split Green Mung Bean 豆爽</v>
      </c>
      <c r="E18" s="446"/>
      <c r="F18" s="446"/>
      <c r="G18" s="76">
        <v>2</v>
      </c>
      <c r="H18" s="183" t="str">
        <f>VLOOKUP(C18,'Sales Master'!$B$3:$F$2420,5,0)</f>
        <v>5 KG</v>
      </c>
      <c r="I18" s="513" t="str">
        <f>VLOOKUP(C18,'Sales Master'!$B$3:$E$2420,4,0)</f>
        <v>-</v>
      </c>
      <c r="J18" s="513"/>
      <c r="K18" s="83">
        <f>VLOOKUP(C18,'Sales Master'!$B$3:$O$2489,14,0)</f>
        <v>18</v>
      </c>
      <c r="L18" s="84">
        <f t="shared" ref="L18:L19" si="0">K18*G18</f>
        <v>36</v>
      </c>
      <c r="M18" s="65"/>
    </row>
    <row r="19" spans="2:16" ht="20" customHeight="1" x14ac:dyDescent="0.45">
      <c r="B19" s="258"/>
      <c r="C19" s="212" t="s">
        <v>837</v>
      </c>
      <c r="D19" s="446" t="str">
        <f>VLOOKUP(C19,'Sales Master'!B$3:D$537,2,)</f>
        <v>Black Glutinous Rice 黑糯米</v>
      </c>
      <c r="E19" s="446"/>
      <c r="F19" s="446"/>
      <c r="G19" s="76">
        <v>1</v>
      </c>
      <c r="H19" s="183" t="str">
        <f>VLOOKUP(C19,'Sales Master'!$B$3:$F$2420,5,0)</f>
        <v>5 KGS</v>
      </c>
      <c r="I19" s="513" t="str">
        <f>VLOOKUP(C19,'Sales Master'!$B$3:$E$2420,4,0)</f>
        <v>-</v>
      </c>
      <c r="J19" s="513"/>
      <c r="K19" s="83">
        <f>VLOOKUP(C19,'Sales Master'!$B$3:$O$2489,14,0)</f>
        <v>18</v>
      </c>
      <c r="L19" s="84">
        <f t="shared" si="0"/>
        <v>18</v>
      </c>
      <c r="M19" s="65"/>
      <c r="N19" s="145"/>
      <c r="O19" s="145"/>
      <c r="P19" s="145"/>
    </row>
    <row r="20" spans="2:16" ht="20" customHeight="1" x14ac:dyDescent="0.45">
      <c r="B20" s="258"/>
      <c r="C20" s="212" t="s">
        <v>966</v>
      </c>
      <c r="D20" s="446" t="str">
        <f>VLOOKUP(C20,'Sales Master'!B$3:D$537,2,)</f>
        <v>Coconut Milk 椰浆</v>
      </c>
      <c r="E20" s="446"/>
      <c r="F20" s="446"/>
      <c r="G20" s="76">
        <v>1</v>
      </c>
      <c r="H20" s="183" t="str">
        <f>VLOOKUP(C20,'Sales Master'!$B$3:$F$2420,5,0)</f>
        <v>(1L x 12bag)/箱</v>
      </c>
      <c r="I20" s="513" t="str">
        <f>VLOOKUP(C20,'Sales Master'!$B$3:$E$2420,4,0)</f>
        <v>Kara UHT</v>
      </c>
      <c r="J20" s="513"/>
      <c r="K20" s="83">
        <f>VLOOKUP(C20,'Sales Master'!$B$3:$O$2489,14,0)</f>
        <v>55</v>
      </c>
      <c r="L20" s="84">
        <f t="shared" ref="L20" si="1">K20*G20</f>
        <v>55</v>
      </c>
      <c r="M20" s="65"/>
      <c r="N20" s="145"/>
      <c r="O20" s="145"/>
      <c r="P20" s="145"/>
    </row>
    <row r="21" spans="2:16" ht="20" customHeight="1" x14ac:dyDescent="0.45">
      <c r="B21" s="258"/>
      <c r="C21" s="212"/>
      <c r="D21" s="446"/>
      <c r="E21" s="446"/>
      <c r="F21" s="446"/>
      <c r="G21" s="76"/>
      <c r="H21" s="183"/>
      <c r="I21" s="513"/>
      <c r="J21" s="513"/>
      <c r="K21" s="83"/>
      <c r="L21" s="84"/>
      <c r="M21" s="65"/>
      <c r="N21" s="145"/>
      <c r="O21" s="145"/>
      <c r="P21" s="145"/>
    </row>
    <row r="22" spans="2:16" ht="20" customHeight="1" x14ac:dyDescent="0.45">
      <c r="B22" s="258"/>
      <c r="C22" s="212"/>
      <c r="D22" s="446"/>
      <c r="E22" s="446"/>
      <c r="F22" s="446"/>
      <c r="G22" s="76"/>
      <c r="H22" s="183"/>
      <c r="I22" s="513"/>
      <c r="J22" s="513"/>
      <c r="K22" s="83"/>
      <c r="L22" s="84"/>
      <c r="M22" s="65"/>
      <c r="N22" s="145"/>
      <c r="O22" s="145"/>
      <c r="P22" s="145"/>
    </row>
    <row r="23" spans="2:16" ht="20" customHeight="1" x14ac:dyDescent="0.45">
      <c r="B23" s="258"/>
      <c r="C23" s="212"/>
      <c r="D23" s="446"/>
      <c r="E23" s="446"/>
      <c r="F23" s="446"/>
      <c r="G23" s="76"/>
      <c r="H23" s="183"/>
      <c r="I23" s="513"/>
      <c r="J23" s="513"/>
      <c r="K23" s="83"/>
      <c r="L23" s="84"/>
      <c r="M23" s="65"/>
      <c r="N23" s="145"/>
      <c r="O23" s="145"/>
      <c r="P23" s="145"/>
    </row>
    <row r="24" spans="2:16" ht="20" customHeight="1" x14ac:dyDescent="0.45">
      <c r="B24" s="258"/>
      <c r="C24" s="212"/>
      <c r="D24" s="446"/>
      <c r="E24" s="446"/>
      <c r="F24" s="446"/>
      <c r="G24" s="76"/>
      <c r="H24" s="183"/>
      <c r="I24" s="513"/>
      <c r="J24" s="513"/>
      <c r="K24" s="83"/>
      <c r="L24" s="84"/>
      <c r="M24" s="65"/>
      <c r="N24" s="145"/>
      <c r="O24" s="145"/>
      <c r="P24" s="145"/>
    </row>
    <row r="25" spans="2:16" ht="20" customHeight="1" x14ac:dyDescent="0.45">
      <c r="B25" s="258"/>
      <c r="C25" s="212"/>
      <c r="D25" s="446"/>
      <c r="E25" s="446"/>
      <c r="F25" s="446"/>
      <c r="G25" s="76"/>
      <c r="H25" s="183"/>
      <c r="I25" s="513"/>
      <c r="J25" s="513"/>
      <c r="K25" s="83"/>
      <c r="L25" s="84"/>
      <c r="M25" s="65"/>
    </row>
    <row r="26" spans="2:16" ht="20" customHeight="1" x14ac:dyDescent="0.45">
      <c r="B26" s="258"/>
      <c r="C26" s="212"/>
      <c r="D26" s="446"/>
      <c r="E26" s="446"/>
      <c r="F26" s="446"/>
      <c r="G26" s="76"/>
      <c r="H26" s="183"/>
      <c r="I26" s="513"/>
      <c r="J26" s="513"/>
      <c r="K26" s="83"/>
      <c r="L26" s="84"/>
      <c r="M26" s="65"/>
    </row>
    <row r="27" spans="2:16" ht="20" customHeight="1" x14ac:dyDescent="0.45">
      <c r="B27" s="258"/>
      <c r="C27" s="212"/>
      <c r="D27" s="446"/>
      <c r="E27" s="446"/>
      <c r="F27" s="446"/>
      <c r="G27" s="76"/>
      <c r="H27" s="183"/>
      <c r="I27" s="513"/>
      <c r="J27" s="513"/>
      <c r="K27" s="83"/>
      <c r="L27" s="84"/>
      <c r="M27" s="65"/>
    </row>
    <row r="28" spans="2:16" ht="20" customHeight="1" x14ac:dyDescent="0.45">
      <c r="B28" s="258"/>
      <c r="C28" s="212"/>
      <c r="D28" s="446"/>
      <c r="E28" s="446"/>
      <c r="F28" s="446"/>
      <c r="G28" s="76"/>
      <c r="H28" s="183"/>
      <c r="I28" s="513"/>
      <c r="J28" s="513"/>
      <c r="K28" s="83"/>
      <c r="L28" s="84"/>
      <c r="M28" s="65"/>
      <c r="N28" s="145"/>
      <c r="O28" s="145"/>
      <c r="P28" s="145"/>
    </row>
    <row r="29" spans="2:16" ht="20" customHeight="1" x14ac:dyDescent="0.45">
      <c r="B29" s="258"/>
      <c r="C29" s="212"/>
      <c r="D29" s="446"/>
      <c r="E29" s="446"/>
      <c r="F29" s="446"/>
      <c r="G29" s="76"/>
      <c r="H29" s="183"/>
      <c r="I29" s="513"/>
      <c r="J29" s="513"/>
      <c r="K29" s="83"/>
      <c r="L29" s="84"/>
      <c r="M29" s="65"/>
      <c r="N29" s="145"/>
      <c r="O29" s="145"/>
      <c r="P29" s="145"/>
    </row>
    <row r="30" spans="2:16" ht="20" customHeight="1" x14ac:dyDescent="0.45">
      <c r="B30" s="258"/>
      <c r="C30" s="212"/>
      <c r="D30" s="554"/>
      <c r="E30" s="554"/>
      <c r="F30" s="554"/>
      <c r="G30" s="76"/>
      <c r="H30" s="183"/>
      <c r="I30" s="513"/>
      <c r="J30" s="513"/>
      <c r="K30" s="83"/>
      <c r="L30" s="84"/>
      <c r="M30" s="65"/>
      <c r="N30" s="145"/>
      <c r="O30" s="145"/>
      <c r="P30" s="145"/>
    </row>
    <row r="31" spans="2:16" ht="20" customHeight="1" x14ac:dyDescent="0.45">
      <c r="B31" s="258"/>
      <c r="C31" s="212"/>
      <c r="D31" s="65"/>
      <c r="E31" s="65"/>
      <c r="F31" s="65"/>
      <c r="G31" s="76"/>
      <c r="H31" s="183"/>
      <c r="I31" s="209"/>
      <c r="J31" s="209"/>
      <c r="K31" s="83"/>
      <c r="L31" s="84"/>
      <c r="M31" s="65"/>
      <c r="N31" s="145"/>
      <c r="O31" s="145"/>
      <c r="P31" s="145"/>
    </row>
    <row r="32" spans="2:16" ht="20" customHeight="1" x14ac:dyDescent="0.45">
      <c r="B32" s="258"/>
      <c r="C32" s="212"/>
      <c r="D32" s="65"/>
      <c r="E32" s="65"/>
      <c r="F32" s="65"/>
      <c r="G32" s="76"/>
      <c r="H32" s="183"/>
      <c r="I32" s="209"/>
      <c r="J32" s="209"/>
      <c r="K32" s="83"/>
      <c r="L32" s="84"/>
      <c r="M32" s="65"/>
      <c r="N32" s="145"/>
      <c r="O32" s="145"/>
      <c r="P32" s="145"/>
    </row>
    <row r="33" spans="2:16" ht="20" customHeight="1" x14ac:dyDescent="0.45">
      <c r="B33" s="258"/>
      <c r="C33" s="603"/>
      <c r="D33" s="603"/>
      <c r="E33" s="603"/>
      <c r="F33" s="65"/>
      <c r="G33" s="76"/>
      <c r="H33" s="183"/>
      <c r="I33" s="209"/>
      <c r="J33" s="209"/>
      <c r="K33" s="83"/>
      <c r="L33" s="84"/>
      <c r="M33" s="65"/>
      <c r="N33" s="145"/>
      <c r="O33" s="145"/>
      <c r="P33" s="145"/>
    </row>
    <row r="34" spans="2:16" ht="20" customHeight="1" x14ac:dyDescent="0.45">
      <c r="B34" s="258"/>
      <c r="C34" s="212"/>
      <c r="D34" s="446"/>
      <c r="E34" s="446"/>
      <c r="F34" s="446"/>
      <c r="G34" s="76"/>
      <c r="H34" s="183"/>
      <c r="I34" s="513"/>
      <c r="J34" s="513"/>
      <c r="K34" s="83"/>
      <c r="L34" s="84"/>
      <c r="M34" s="65"/>
      <c r="N34" s="145"/>
      <c r="O34" s="145"/>
      <c r="P34" s="145"/>
    </row>
    <row r="35" spans="2:16" ht="20" customHeight="1" x14ac:dyDescent="0.45">
      <c r="B35" s="258"/>
      <c r="C35" s="212"/>
      <c r="D35" s="446"/>
      <c r="E35" s="446"/>
      <c r="F35" s="446"/>
      <c r="G35" s="76"/>
      <c r="H35" s="183"/>
      <c r="I35" s="513"/>
      <c r="J35" s="513"/>
      <c r="K35" s="83"/>
      <c r="L35" s="84"/>
      <c r="M35" s="65"/>
      <c r="N35" s="145"/>
      <c r="O35" s="145"/>
      <c r="P35" s="145"/>
    </row>
    <row r="36" spans="2:16" ht="20" customHeight="1" x14ac:dyDescent="0.45">
      <c r="B36" s="258"/>
      <c r="C36" s="212"/>
      <c r="D36" s="446"/>
      <c r="E36" s="446"/>
      <c r="F36" s="446"/>
      <c r="G36" s="76"/>
      <c r="H36" s="183"/>
      <c r="I36" s="513"/>
      <c r="J36" s="513"/>
      <c r="K36" s="83"/>
      <c r="L36" s="84"/>
      <c r="M36" s="65"/>
      <c r="N36" s="145"/>
      <c r="O36" s="145"/>
      <c r="P36" s="145"/>
    </row>
    <row r="37" spans="2:16" ht="20.149999999999999" customHeight="1" thickBot="1" x14ac:dyDescent="0.5">
      <c r="B37" s="32"/>
      <c r="C37" s="33"/>
      <c r="D37" s="529"/>
      <c r="E37" s="529"/>
      <c r="F37" s="529"/>
      <c r="G37" s="113"/>
      <c r="H37" s="57"/>
      <c r="I37" s="530"/>
      <c r="J37" s="530"/>
      <c r="K37" s="114"/>
      <c r="L37" s="115"/>
    </row>
    <row r="38" spans="2:16" ht="20.149999999999999" customHeight="1" thickBot="1" x14ac:dyDescent="0.5">
      <c r="B38" s="36"/>
      <c r="G38" s="65"/>
      <c r="L38" s="37"/>
    </row>
    <row r="39" spans="2:16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89" t="s">
        <v>13</v>
      </c>
      <c r="K39" s="490"/>
      <c r="L39" s="38">
        <f>SUM(L18:L38)</f>
        <v>109</v>
      </c>
      <c r="M39" s="63">
        <f>SUM(P18:P38)</f>
        <v>0</v>
      </c>
      <c r="N39" s="133">
        <f>M39/L39</f>
        <v>0</v>
      </c>
    </row>
    <row r="40" spans="2:16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</row>
    <row r="41" spans="2:16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91" t="s">
        <v>19</v>
      </c>
      <c r="K41" s="492"/>
      <c r="L41" s="41">
        <f>L39-L40</f>
        <v>109</v>
      </c>
    </row>
    <row r="42" spans="2:16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9.81</v>
      </c>
    </row>
    <row r="43" spans="2:16" ht="20.149999999999999" customHeight="1" thickBot="1" x14ac:dyDescent="0.5">
      <c r="B43" s="10" t="s">
        <v>676</v>
      </c>
      <c r="C43" s="6"/>
      <c r="D43" s="6"/>
      <c r="E43" s="6"/>
      <c r="F43" s="6"/>
      <c r="G43" s="6"/>
      <c r="H43" s="6"/>
      <c r="I43" s="6"/>
      <c r="J43" s="485" t="s">
        <v>21</v>
      </c>
      <c r="K43" s="486"/>
      <c r="L43" s="43">
        <f>L41+L42</f>
        <v>118.81</v>
      </c>
    </row>
    <row r="44" spans="2:16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6" ht="20.149999999999999" customHeight="1" x14ac:dyDescent="0.45">
      <c r="B45" s="144" t="s">
        <v>666</v>
      </c>
      <c r="L45" s="37"/>
    </row>
    <row r="46" spans="2:16" ht="20.149999999999999" customHeight="1" x14ac:dyDescent="0.45">
      <c r="B46" s="144"/>
      <c r="L46" s="37"/>
    </row>
    <row r="47" spans="2:16" ht="20.149999999999999" customHeight="1" x14ac:dyDescent="0.45">
      <c r="B47" s="144"/>
      <c r="L47" s="37"/>
    </row>
    <row r="48" spans="2:16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  <row r="52" spans="2:12" ht="20.5" x14ac:dyDescent="0.45">
      <c r="F52" s="202"/>
    </row>
    <row r="1048555" spans="4:6" x14ac:dyDescent="0.45">
      <c r="D1048555" s="446"/>
      <c r="E1048555" s="446"/>
      <c r="F1048555" s="446"/>
    </row>
  </sheetData>
  <mergeCells count="53">
    <mergeCell ref="J39:K39"/>
    <mergeCell ref="J41:K41"/>
    <mergeCell ref="J43:K43"/>
    <mergeCell ref="D1048555:F1048555"/>
    <mergeCell ref="I27:J27"/>
    <mergeCell ref="D36:F36"/>
    <mergeCell ref="I36:J36"/>
    <mergeCell ref="D37:F37"/>
    <mergeCell ref="I37:J37"/>
    <mergeCell ref="I26:J26"/>
    <mergeCell ref="D27:F27"/>
    <mergeCell ref="D26:F26"/>
    <mergeCell ref="D35:F35"/>
    <mergeCell ref="I35:J35"/>
    <mergeCell ref="D30:F30"/>
    <mergeCell ref="I30:J30"/>
    <mergeCell ref="C33:E33"/>
    <mergeCell ref="D34:F34"/>
    <mergeCell ref="I34:J34"/>
    <mergeCell ref="D28:F28"/>
    <mergeCell ref="I28:J28"/>
    <mergeCell ref="D29:F29"/>
    <mergeCell ref="I29:J29"/>
    <mergeCell ref="D20:F20"/>
    <mergeCell ref="I20:J20"/>
    <mergeCell ref="D21:F21"/>
    <mergeCell ref="I21:J21"/>
    <mergeCell ref="D25:F25"/>
    <mergeCell ref="I25:J25"/>
    <mergeCell ref="D22:F22"/>
    <mergeCell ref="I22:J22"/>
    <mergeCell ref="D23:F23"/>
    <mergeCell ref="I23:J23"/>
    <mergeCell ref="D24:F24"/>
    <mergeCell ref="I24:J24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4:D14"/>
    <mergeCell ref="K14:L14"/>
    <mergeCell ref="N11:P11"/>
    <mergeCell ref="B12:D12"/>
    <mergeCell ref="K12:L12"/>
    <mergeCell ref="B13:D13"/>
    <mergeCell ref="K13:L13"/>
  </mergeCells>
  <conditionalFormatting sqref="C18">
    <cfRule type="duplicateValues" dxfId="25" priority="5"/>
  </conditionalFormatting>
  <conditionalFormatting sqref="C33">
    <cfRule type="duplicateValues" dxfId="24" priority="1"/>
  </conditionalFormatting>
  <conditionalFormatting sqref="C37">
    <cfRule type="duplicateValues" dxfId="23" priority="3"/>
    <cfRule type="duplicateValues" dxfId="22" priority="4"/>
  </conditionalFormatting>
  <conditionalFormatting sqref="N11">
    <cfRule type="duplicateValues" dxfId="21" priority="2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21498-5853-4CB4-A842-33D9E5D521EB}">
  <sheetPr>
    <tabColor theme="7"/>
    <pageSetUpPr fitToPage="1"/>
  </sheetPr>
  <dimension ref="B1:P1048553"/>
  <sheetViews>
    <sheetView topLeftCell="A31" zoomScaleNormal="100" workbookViewId="0">
      <selection activeCell="D26" sqref="D26:F2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179687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1" width="12.54296875" style="19" customWidth="1"/>
    <col min="12" max="12" width="13.453125" style="19" bestFit="1" customWidth="1"/>
    <col min="13" max="16384" width="12.54296875" style="19"/>
  </cols>
  <sheetData>
    <row r="1" spans="2:16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6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6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6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6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6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6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6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2281</v>
      </c>
      <c r="J10" s="24" t="s">
        <v>27</v>
      </c>
      <c r="K10" s="464">
        <v>202504227</v>
      </c>
      <c r="L10" s="465"/>
    </row>
    <row r="11" spans="2:16" ht="20.149999999999999" customHeight="1" x14ac:dyDescent="0.45">
      <c r="B11" s="466"/>
      <c r="C11" s="467"/>
      <c r="D11" s="468"/>
      <c r="E11" s="25"/>
      <c r="F11" s="469" t="str">
        <f>VLOOKUP(H10,'Delivery Location'!A$4:N$466,2,0)</f>
        <v>XiaoYan Desserts                                             7 Fraser Street #B3-20,                             Duo Galleria, Singapore 189356</v>
      </c>
      <c r="G11" s="470"/>
      <c r="H11" s="471"/>
      <c r="J11" s="26" t="s">
        <v>9</v>
      </c>
      <c r="K11" s="504">
        <v>45756</v>
      </c>
      <c r="L11" s="505"/>
      <c r="N11" s="532" t="s">
        <v>1075</v>
      </c>
      <c r="O11" s="532"/>
      <c r="P11" s="532"/>
    </row>
    <row r="12" spans="2:16" ht="20.149999999999999" customHeight="1" x14ac:dyDescent="0.45">
      <c r="B12" s="480"/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6" ht="20.149999999999999" customHeight="1" x14ac:dyDescent="0.45">
      <c r="B13" s="480"/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6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6" ht="18" customHeight="1" thickBot="1" x14ac:dyDescent="0.5">
      <c r="B15" s="50"/>
      <c r="C15" s="51"/>
      <c r="D15" s="52"/>
      <c r="E15" s="21"/>
      <c r="F15" s="475"/>
      <c r="G15" s="476"/>
      <c r="H15" s="477"/>
      <c r="J15" s="27" t="s">
        <v>11</v>
      </c>
      <c r="K15" s="119" t="s">
        <v>522</v>
      </c>
      <c r="L15" s="118"/>
    </row>
    <row r="16" spans="2:16" ht="19" thickBot="1" x14ac:dyDescent="0.5">
      <c r="J16" s="17"/>
      <c r="K16" s="19" t="s">
        <v>439</v>
      </c>
    </row>
    <row r="17" spans="2:16" ht="30" customHeight="1" thickBot="1" x14ac:dyDescent="0.5">
      <c r="B17" s="109" t="s">
        <v>2</v>
      </c>
      <c r="C17" s="110" t="s">
        <v>3</v>
      </c>
      <c r="D17" s="531" t="s">
        <v>4</v>
      </c>
      <c r="E17" s="531"/>
      <c r="F17" s="531"/>
      <c r="G17" s="112" t="s">
        <v>384</v>
      </c>
      <c r="H17" s="110" t="s">
        <v>29</v>
      </c>
      <c r="I17" s="531" t="s">
        <v>53</v>
      </c>
      <c r="J17" s="531"/>
      <c r="K17" s="110" t="s">
        <v>5</v>
      </c>
      <c r="L17" s="111" t="s">
        <v>6</v>
      </c>
      <c r="M17" s="28"/>
    </row>
    <row r="18" spans="2:16" ht="20" customHeight="1" x14ac:dyDescent="0.45">
      <c r="B18" s="258"/>
      <c r="C18" s="212" t="s">
        <v>702</v>
      </c>
      <c r="D18" s="446" t="str">
        <f>VLOOKUP(C18,'Sales Master'!B$3:D$537,2,)</f>
        <v>Durian Puree 榴莲酱</v>
      </c>
      <c r="E18" s="446"/>
      <c r="F18" s="446"/>
      <c r="G18" s="76">
        <v>2</v>
      </c>
      <c r="H18" s="183" t="str">
        <f>VLOOKUP(C18,'Sales Master'!$B$3:$F$2420,5,0)</f>
        <v>1 KG/ Box盒</v>
      </c>
      <c r="I18" s="513" t="str">
        <f>VLOOKUP(C18,'Sales Master'!$B$3:$E$2420,4,0)</f>
        <v>DO!</v>
      </c>
      <c r="J18" s="513"/>
      <c r="K18" s="83">
        <f>VLOOKUP(C18,'Sales Master'!$B$3:$O$2489,14,0)</f>
        <v>10</v>
      </c>
      <c r="L18" s="84">
        <f t="shared" ref="L18:L21" si="0">K18*G18</f>
        <v>20</v>
      </c>
      <c r="M18" s="65"/>
    </row>
    <row r="19" spans="2:16" ht="20" customHeight="1" x14ac:dyDescent="0.45">
      <c r="B19" s="258"/>
      <c r="C19" s="212" t="s">
        <v>703</v>
      </c>
      <c r="D19" s="446" t="str">
        <f>VLOOKUP(C19,'Sales Master'!B$3:D$537,2,)</f>
        <v>Mango Puree 芒果酱</v>
      </c>
      <c r="E19" s="446"/>
      <c r="F19" s="446"/>
      <c r="G19" s="76">
        <v>5</v>
      </c>
      <c r="H19" s="183" t="str">
        <f>VLOOKUP(C19,'Sales Master'!$B$3:$F$2420,5,0)</f>
        <v>1 KG/ Box盒</v>
      </c>
      <c r="I19" s="513" t="str">
        <f>VLOOKUP(C19,'Sales Master'!$B$3:$E$2420,4,0)</f>
        <v>DO!</v>
      </c>
      <c r="J19" s="513"/>
      <c r="K19" s="83">
        <f>VLOOKUP(C19,'Sales Master'!$B$3:$O$2489,14,0)</f>
        <v>9</v>
      </c>
      <c r="L19" s="84">
        <f t="shared" si="0"/>
        <v>45</v>
      </c>
      <c r="M19" s="65"/>
      <c r="N19" s="145"/>
      <c r="O19" s="145"/>
      <c r="P19" s="145"/>
    </row>
    <row r="20" spans="2:16" ht="20" customHeight="1" x14ac:dyDescent="0.45">
      <c r="B20" s="258"/>
      <c r="C20" s="212" t="s">
        <v>825</v>
      </c>
      <c r="D20" s="446" t="str">
        <f>VLOOKUP(C20,'Sales Master'!B$3:D$537,2,)</f>
        <v>Green Bean 绿豆</v>
      </c>
      <c r="E20" s="446"/>
      <c r="F20" s="446"/>
      <c r="G20" s="76">
        <v>2</v>
      </c>
      <c r="H20" s="183" t="str">
        <f>VLOOKUP(C20,'Sales Master'!$B$3:$F$2420,5,0)</f>
        <v>5 KG</v>
      </c>
      <c r="I20" s="513" t="str">
        <f>VLOOKUP(C20,'Sales Master'!$B$3:$E$2420,4,0)</f>
        <v>-</v>
      </c>
      <c r="J20" s="513"/>
      <c r="K20" s="83">
        <f>VLOOKUP(C20,'Sales Master'!$B$3:$O$2489,14,0)</f>
        <v>14</v>
      </c>
      <c r="L20" s="84">
        <f>K20*G20</f>
        <v>28</v>
      </c>
      <c r="M20" s="65"/>
      <c r="N20" s="145"/>
      <c r="O20" s="145"/>
      <c r="P20" s="145"/>
    </row>
    <row r="21" spans="2:16" ht="20" customHeight="1" x14ac:dyDescent="0.45">
      <c r="B21" s="258"/>
      <c r="C21" s="212" t="s">
        <v>990</v>
      </c>
      <c r="D21" s="446" t="str">
        <f>VLOOKUP(C21,'Sales Master'!B$3:D$537,2,)</f>
        <v>Fine Sugar 白糖</v>
      </c>
      <c r="E21" s="446"/>
      <c r="F21" s="446"/>
      <c r="G21" s="76">
        <v>1</v>
      </c>
      <c r="H21" s="183" t="str">
        <f>VLOOKUP(C21,'Sales Master'!$B$3:$F$2420,5,0)</f>
        <v>25 KGS</v>
      </c>
      <c r="I21" s="513" t="str">
        <f>VLOOKUP(C21,'Sales Master'!$B$3:$E$2420,4,0)</f>
        <v>MITR PHOL/ 蜜朋</v>
      </c>
      <c r="J21" s="513"/>
      <c r="K21" s="83">
        <f>VLOOKUP(C21,'Sales Master'!$B$3:$O$2489,14,0)</f>
        <v>31.5</v>
      </c>
      <c r="L21" s="84">
        <f t="shared" si="0"/>
        <v>31.5</v>
      </c>
      <c r="M21" s="65"/>
      <c r="N21" s="145"/>
      <c r="O21" s="145"/>
      <c r="P21" s="145"/>
    </row>
    <row r="22" spans="2:16" ht="20" customHeight="1" x14ac:dyDescent="0.45">
      <c r="B22" s="258"/>
      <c r="C22" s="212"/>
      <c r="D22" s="446"/>
      <c r="E22" s="446"/>
      <c r="F22" s="446"/>
      <c r="G22" s="76"/>
      <c r="H22" s="183"/>
      <c r="I22" s="513"/>
      <c r="J22" s="513"/>
      <c r="K22" s="83"/>
      <c r="L22" s="84"/>
      <c r="M22" s="65"/>
      <c r="N22" s="145"/>
      <c r="O22" s="145"/>
      <c r="P22" s="145"/>
    </row>
    <row r="23" spans="2:16" ht="20" customHeight="1" x14ac:dyDescent="0.45">
      <c r="B23" s="258"/>
      <c r="C23" s="212"/>
      <c r="D23" s="446"/>
      <c r="E23" s="446"/>
      <c r="F23" s="446"/>
      <c r="G23" s="76"/>
      <c r="H23" s="183"/>
      <c r="I23" s="513"/>
      <c r="J23" s="513"/>
      <c r="K23" s="83"/>
      <c r="L23" s="84"/>
      <c r="M23" s="65"/>
      <c r="N23" s="145"/>
      <c r="O23" s="145"/>
      <c r="P23" s="145"/>
    </row>
    <row r="24" spans="2:16" ht="20" customHeight="1" x14ac:dyDescent="0.45">
      <c r="B24" s="258"/>
      <c r="C24" s="212"/>
      <c r="D24" s="446"/>
      <c r="E24" s="446"/>
      <c r="F24" s="446"/>
      <c r="G24" s="76"/>
      <c r="H24" s="183"/>
      <c r="I24" s="513"/>
      <c r="J24" s="513"/>
      <c r="K24" s="83"/>
      <c r="L24" s="84"/>
      <c r="M24" s="65"/>
      <c r="N24" s="145"/>
      <c r="O24" s="145"/>
      <c r="P24" s="145"/>
    </row>
    <row r="25" spans="2:16" ht="20" customHeight="1" x14ac:dyDescent="0.45">
      <c r="B25" s="258"/>
      <c r="C25" s="212"/>
      <c r="D25" s="446"/>
      <c r="E25" s="446"/>
      <c r="F25" s="446"/>
      <c r="G25" s="76"/>
      <c r="H25" s="183"/>
      <c r="I25" s="513"/>
      <c r="J25" s="513"/>
      <c r="K25" s="83"/>
      <c r="L25" s="84"/>
      <c r="M25" s="65"/>
      <c r="N25" s="145"/>
      <c r="O25" s="145"/>
      <c r="P25" s="145"/>
    </row>
    <row r="26" spans="2:16" ht="20" customHeight="1" x14ac:dyDescent="0.45">
      <c r="B26" s="258"/>
      <c r="C26" s="212"/>
      <c r="D26" s="446"/>
      <c r="E26" s="446"/>
      <c r="F26" s="446"/>
      <c r="G26" s="76"/>
      <c r="H26" s="183"/>
      <c r="I26" s="513"/>
      <c r="J26" s="513"/>
      <c r="K26" s="83"/>
      <c r="L26" s="84"/>
      <c r="M26" s="65"/>
      <c r="N26" s="145"/>
      <c r="O26" s="145"/>
      <c r="P26" s="145"/>
    </row>
    <row r="27" spans="2:16" ht="20" customHeight="1" x14ac:dyDescent="0.45">
      <c r="B27" s="258"/>
      <c r="C27" s="212"/>
      <c r="D27" s="554"/>
      <c r="E27" s="554"/>
      <c r="F27" s="554"/>
      <c r="G27" s="76"/>
      <c r="H27" s="183"/>
      <c r="I27" s="513"/>
      <c r="J27" s="513"/>
      <c r="K27" s="83"/>
      <c r="L27" s="84"/>
      <c r="M27" s="65"/>
      <c r="N27" s="145"/>
      <c r="O27" s="145"/>
      <c r="P27" s="145"/>
    </row>
    <row r="28" spans="2:16" ht="20" customHeight="1" x14ac:dyDescent="0.45">
      <c r="B28" s="258"/>
      <c r="C28" s="212"/>
      <c r="D28" s="554"/>
      <c r="E28" s="554"/>
      <c r="F28" s="554"/>
      <c r="G28" s="76"/>
      <c r="H28" s="183"/>
      <c r="I28" s="513"/>
      <c r="J28" s="513"/>
      <c r="K28" s="83"/>
      <c r="L28" s="84"/>
      <c r="M28" s="65"/>
      <c r="N28" s="145"/>
      <c r="O28" s="145"/>
      <c r="P28" s="145"/>
    </row>
    <row r="29" spans="2:16" ht="20" customHeight="1" x14ac:dyDescent="0.45">
      <c r="B29" s="258"/>
      <c r="C29" s="212"/>
      <c r="D29" s="65"/>
      <c r="E29" s="65"/>
      <c r="F29" s="65"/>
      <c r="G29" s="76"/>
      <c r="H29" s="183"/>
      <c r="I29" s="209"/>
      <c r="J29" s="209"/>
      <c r="K29" s="83"/>
      <c r="L29" s="84"/>
      <c r="M29" s="65"/>
      <c r="N29" s="145"/>
      <c r="O29" s="145"/>
      <c r="P29" s="145"/>
    </row>
    <row r="30" spans="2:16" ht="20" customHeight="1" x14ac:dyDescent="0.45">
      <c r="B30" s="258"/>
      <c r="C30" s="212"/>
      <c r="D30" s="65"/>
      <c r="E30" s="65"/>
      <c r="F30" s="65"/>
      <c r="G30" s="76"/>
      <c r="H30" s="183"/>
      <c r="I30" s="209"/>
      <c r="J30" s="209"/>
      <c r="K30" s="83"/>
      <c r="L30" s="84"/>
      <c r="M30" s="65"/>
      <c r="N30" s="145"/>
      <c r="O30" s="145"/>
      <c r="P30" s="145"/>
    </row>
    <row r="31" spans="2:16" ht="20" customHeight="1" x14ac:dyDescent="0.45">
      <c r="B31" s="258"/>
      <c r="C31" s="603"/>
      <c r="D31" s="603"/>
      <c r="E31" s="603"/>
      <c r="F31" s="65"/>
      <c r="G31" s="76"/>
      <c r="H31" s="183"/>
      <c r="I31" s="209"/>
      <c r="J31" s="209"/>
      <c r="K31" s="83"/>
      <c r="L31" s="84"/>
      <c r="M31" s="65"/>
      <c r="N31" s="145"/>
      <c r="O31" s="145"/>
      <c r="P31" s="145"/>
    </row>
    <row r="32" spans="2:16" ht="20" customHeight="1" x14ac:dyDescent="0.45">
      <c r="B32" s="258"/>
      <c r="C32" s="212"/>
      <c r="D32" s="446"/>
      <c r="E32" s="446"/>
      <c r="F32" s="446"/>
      <c r="G32" s="76"/>
      <c r="H32" s="183"/>
      <c r="I32" s="513"/>
      <c r="J32" s="513"/>
      <c r="K32" s="83"/>
      <c r="L32" s="84"/>
      <c r="M32" s="65"/>
      <c r="N32" s="145"/>
      <c r="O32" s="145"/>
      <c r="P32" s="145"/>
    </row>
    <row r="33" spans="2:16" ht="20" customHeight="1" x14ac:dyDescent="0.45">
      <c r="B33" s="258"/>
      <c r="C33" s="212"/>
      <c r="D33" s="446"/>
      <c r="E33" s="446"/>
      <c r="F33" s="446"/>
      <c r="G33" s="76"/>
      <c r="H33" s="183"/>
      <c r="I33" s="513"/>
      <c r="J33" s="513"/>
      <c r="K33" s="83"/>
      <c r="L33" s="84"/>
      <c r="M33" s="65"/>
      <c r="N33" s="145"/>
      <c r="O33" s="145"/>
      <c r="P33" s="145"/>
    </row>
    <row r="34" spans="2:16" ht="20" customHeight="1" x14ac:dyDescent="0.45">
      <c r="B34" s="258"/>
      <c r="C34" s="212"/>
      <c r="D34" s="446"/>
      <c r="E34" s="446"/>
      <c r="F34" s="446"/>
      <c r="G34" s="76"/>
      <c r="H34" s="183"/>
      <c r="I34" s="513"/>
      <c r="J34" s="513"/>
      <c r="K34" s="83"/>
      <c r="L34" s="84"/>
      <c r="M34" s="65"/>
      <c r="N34" s="145"/>
      <c r="O34" s="145"/>
      <c r="P34" s="145"/>
    </row>
    <row r="35" spans="2:16" ht="20.149999999999999" customHeight="1" thickBot="1" x14ac:dyDescent="0.5">
      <c r="B35" s="32"/>
      <c r="C35" s="33"/>
      <c r="D35" s="529"/>
      <c r="E35" s="529"/>
      <c r="F35" s="529"/>
      <c r="G35" s="113"/>
      <c r="H35" s="57"/>
      <c r="I35" s="530"/>
      <c r="J35" s="530"/>
      <c r="K35" s="114"/>
      <c r="L35" s="115"/>
    </row>
    <row r="36" spans="2:16" ht="20.149999999999999" customHeight="1" thickBot="1" x14ac:dyDescent="0.5">
      <c r="B36" s="36"/>
      <c r="G36" s="65"/>
      <c r="L36" s="37"/>
    </row>
    <row r="37" spans="2:16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89" t="s">
        <v>13</v>
      </c>
      <c r="K37" s="490"/>
      <c r="L37" s="38">
        <f>SUM(L18:L36)</f>
        <v>124.5</v>
      </c>
      <c r="M37" s="63">
        <f>SUM(P18:P36)</f>
        <v>0</v>
      </c>
      <c r="N37" s="133">
        <f>M37/L37</f>
        <v>0</v>
      </c>
    </row>
    <row r="38" spans="2:16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6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91" t="s">
        <v>19</v>
      </c>
      <c r="K39" s="492"/>
      <c r="L39" s="41">
        <f>L37-L38</f>
        <v>124.5</v>
      </c>
    </row>
    <row r="40" spans="2:16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11.205</v>
      </c>
    </row>
    <row r="41" spans="2:16" ht="20.149999999999999" customHeight="1" thickBot="1" x14ac:dyDescent="0.5">
      <c r="B41" s="10" t="s">
        <v>676</v>
      </c>
      <c r="C41" s="6"/>
      <c r="D41" s="6"/>
      <c r="E41" s="6"/>
      <c r="F41" s="6"/>
      <c r="G41" s="6"/>
      <c r="H41" s="6"/>
      <c r="I41" s="6"/>
      <c r="J41" s="485" t="s">
        <v>21</v>
      </c>
      <c r="K41" s="486"/>
      <c r="L41" s="43">
        <f>L39+L40</f>
        <v>135.70500000000001</v>
      </c>
    </row>
    <row r="42" spans="2:16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6" ht="20.149999999999999" customHeight="1" x14ac:dyDescent="0.45">
      <c r="B43" s="144" t="s">
        <v>666</v>
      </c>
      <c r="L43" s="37"/>
    </row>
    <row r="44" spans="2:16" ht="20.149999999999999" customHeight="1" x14ac:dyDescent="0.45">
      <c r="B44" s="144"/>
      <c r="L44" s="37"/>
    </row>
    <row r="45" spans="2:16" ht="20.149999999999999" customHeight="1" x14ac:dyDescent="0.45">
      <c r="B45" s="144"/>
      <c r="L45" s="37"/>
    </row>
    <row r="46" spans="2:16" ht="20.149999999999999" customHeight="1" x14ac:dyDescent="0.45">
      <c r="B46" s="36"/>
      <c r="L46" s="37"/>
    </row>
    <row r="47" spans="2:16" ht="20.149999999999999" customHeight="1" x14ac:dyDescent="0.45">
      <c r="B47" s="44"/>
      <c r="C47" s="45"/>
      <c r="D47" s="45"/>
      <c r="J47" s="45"/>
      <c r="K47" s="45"/>
      <c r="L47" s="46"/>
    </row>
    <row r="48" spans="2:16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  <row r="50" spans="2:12" ht="20.5" x14ac:dyDescent="0.45">
      <c r="F50" s="202"/>
    </row>
    <row r="1048553" spans="4:6" x14ac:dyDescent="0.45">
      <c r="D1048553" s="446"/>
      <c r="E1048553" s="446"/>
      <c r="F1048553" s="446"/>
    </row>
  </sheetData>
  <mergeCells count="49">
    <mergeCell ref="J37:K37"/>
    <mergeCell ref="J39:K39"/>
    <mergeCell ref="J41:K41"/>
    <mergeCell ref="D1048553:F1048553"/>
    <mergeCell ref="D33:F33"/>
    <mergeCell ref="I33:J33"/>
    <mergeCell ref="D34:F34"/>
    <mergeCell ref="I34:J34"/>
    <mergeCell ref="D35:F35"/>
    <mergeCell ref="I35:J35"/>
    <mergeCell ref="D23:F23"/>
    <mergeCell ref="I23:J23"/>
    <mergeCell ref="D24:F24"/>
    <mergeCell ref="I24:J24"/>
    <mergeCell ref="D32:F32"/>
    <mergeCell ref="I32:J32"/>
    <mergeCell ref="D25:F25"/>
    <mergeCell ref="I25:J25"/>
    <mergeCell ref="D26:F26"/>
    <mergeCell ref="I26:J26"/>
    <mergeCell ref="D27:F27"/>
    <mergeCell ref="I27:J27"/>
    <mergeCell ref="D28:F28"/>
    <mergeCell ref="I28:J28"/>
    <mergeCell ref="C31:E31"/>
    <mergeCell ref="D21:F21"/>
    <mergeCell ref="I21:J21"/>
    <mergeCell ref="D20:F20"/>
    <mergeCell ref="I20:J20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4:D14"/>
    <mergeCell ref="K14:L14"/>
    <mergeCell ref="N11:P11"/>
    <mergeCell ref="B12:D12"/>
    <mergeCell ref="K12:L12"/>
    <mergeCell ref="B13:D13"/>
    <mergeCell ref="K13:L13"/>
  </mergeCells>
  <conditionalFormatting sqref="C18">
    <cfRule type="duplicateValues" dxfId="20" priority="5"/>
  </conditionalFormatting>
  <conditionalFormatting sqref="C31">
    <cfRule type="duplicateValues" dxfId="19" priority="1"/>
  </conditionalFormatting>
  <conditionalFormatting sqref="C35">
    <cfRule type="duplicateValues" dxfId="18" priority="3"/>
    <cfRule type="duplicateValues" dxfId="17" priority="4"/>
  </conditionalFormatting>
  <conditionalFormatting sqref="N11">
    <cfRule type="duplicateValues" dxfId="16" priority="2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55468-E4AE-4A40-85D4-19B2F1FE9D0B}">
  <sheetPr>
    <tabColor theme="7"/>
    <pageSetUpPr fitToPage="1"/>
  </sheetPr>
  <dimension ref="B1:P1048562"/>
  <sheetViews>
    <sheetView topLeftCell="B13" zoomScaleNormal="100" workbookViewId="0">
      <selection activeCell="D18" sqref="D18:F2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179687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1" width="12.54296875" style="19" customWidth="1"/>
    <col min="12" max="12" width="13.453125" style="19" bestFit="1" customWidth="1"/>
    <col min="13" max="16384" width="12.54296875" style="19"/>
  </cols>
  <sheetData>
    <row r="1" spans="2:16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6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6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6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6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6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6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6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2281</v>
      </c>
      <c r="J10" s="24" t="s">
        <v>27</v>
      </c>
      <c r="K10" s="464">
        <v>202504122</v>
      </c>
      <c r="L10" s="465"/>
    </row>
    <row r="11" spans="2:16" ht="20.149999999999999" customHeight="1" x14ac:dyDescent="0.45">
      <c r="B11" s="466"/>
      <c r="C11" s="467"/>
      <c r="D11" s="468"/>
      <c r="E11" s="25"/>
      <c r="F11" s="469" t="str">
        <f>VLOOKUP(H10,'Delivery Location'!A$4:N$466,2,0)</f>
        <v>XiaoYan Desserts                                             7 Fraser Street #B3-20,                             Duo Galleria, Singapore 189356</v>
      </c>
      <c r="G11" s="470"/>
      <c r="H11" s="471"/>
      <c r="J11" s="26" t="s">
        <v>9</v>
      </c>
      <c r="K11" s="504">
        <v>45751</v>
      </c>
      <c r="L11" s="505"/>
      <c r="N11" s="532" t="s">
        <v>1075</v>
      </c>
      <c r="O11" s="532"/>
      <c r="P11" s="532"/>
    </row>
    <row r="12" spans="2:16" ht="20.149999999999999" customHeight="1" x14ac:dyDescent="0.45">
      <c r="B12" s="480"/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6" ht="20.149999999999999" customHeight="1" x14ac:dyDescent="0.45">
      <c r="B13" s="480"/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6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6" ht="18" customHeight="1" thickBot="1" x14ac:dyDescent="0.5">
      <c r="B15" s="50"/>
      <c r="C15" s="51"/>
      <c r="D15" s="52"/>
      <c r="E15" s="21"/>
      <c r="F15" s="475"/>
      <c r="G15" s="476"/>
      <c r="H15" s="477"/>
      <c r="J15" s="27" t="s">
        <v>11</v>
      </c>
      <c r="K15" s="119" t="s">
        <v>522</v>
      </c>
      <c r="L15" s="118"/>
    </row>
    <row r="16" spans="2:16" ht="19" thickBot="1" x14ac:dyDescent="0.5">
      <c r="J16" s="17"/>
      <c r="K16" s="19" t="s">
        <v>439</v>
      </c>
    </row>
    <row r="17" spans="2:16" ht="30" customHeight="1" thickBot="1" x14ac:dyDescent="0.5">
      <c r="B17" s="109" t="s">
        <v>2</v>
      </c>
      <c r="C17" s="110" t="s">
        <v>3</v>
      </c>
      <c r="D17" s="531" t="s">
        <v>4</v>
      </c>
      <c r="E17" s="531"/>
      <c r="F17" s="531"/>
      <c r="G17" s="112" t="s">
        <v>384</v>
      </c>
      <c r="H17" s="110" t="s">
        <v>29</v>
      </c>
      <c r="I17" s="531" t="s">
        <v>53</v>
      </c>
      <c r="J17" s="531"/>
      <c r="K17" s="110" t="s">
        <v>5</v>
      </c>
      <c r="L17" s="111" t="s">
        <v>6</v>
      </c>
      <c r="M17" s="28"/>
    </row>
    <row r="18" spans="2:16" ht="20" customHeight="1" x14ac:dyDescent="0.45">
      <c r="B18" s="258"/>
      <c r="C18" s="212" t="s">
        <v>697</v>
      </c>
      <c r="D18" s="446" t="str">
        <f>VLOOKUP(C18,'Sales Master'!B$3:D$537,2,)</f>
        <v xml:space="preserve">Fresh Soursop 红毛榴莲 </v>
      </c>
      <c r="E18" s="446"/>
      <c r="F18" s="446"/>
      <c r="G18" s="76">
        <v>1</v>
      </c>
      <c r="H18" s="183" t="str">
        <f>VLOOKUP(C18,'Sales Master'!$B$3:$F$2420,5,0)</f>
        <v>GW:5 KG/ Pkt包</v>
      </c>
      <c r="I18" s="513" t="str">
        <f>VLOOKUP(C18,'Sales Master'!$B$3:$E$2420,4,0)</f>
        <v>DO!</v>
      </c>
      <c r="J18" s="513"/>
      <c r="K18" s="83">
        <f>VLOOKUP(C18,'Sales Master'!$B$3:$O$2489,14,0)</f>
        <v>34</v>
      </c>
      <c r="L18" s="84">
        <f t="shared" ref="L18:L19" si="0">K18*G18</f>
        <v>34</v>
      </c>
      <c r="M18" s="65"/>
    </row>
    <row r="19" spans="2:16" ht="20" customHeight="1" x14ac:dyDescent="0.45">
      <c r="B19" s="258"/>
      <c r="C19" s="212" t="s">
        <v>702</v>
      </c>
      <c r="D19" s="446" t="str">
        <f>VLOOKUP(C19,'Sales Master'!B$3:D$537,2,)</f>
        <v>Durian Puree 榴莲酱</v>
      </c>
      <c r="E19" s="446"/>
      <c r="F19" s="446"/>
      <c r="G19" s="76">
        <v>1</v>
      </c>
      <c r="H19" s="183" t="str">
        <f>VLOOKUP(C19,'Sales Master'!$B$3:$F$2420,5,0)</f>
        <v>1 KG/ Box盒</v>
      </c>
      <c r="I19" s="513" t="str">
        <f>VLOOKUP(C19,'Sales Master'!$B$3:$E$2420,4,0)</f>
        <v>DO!</v>
      </c>
      <c r="J19" s="513"/>
      <c r="K19" s="83">
        <f>VLOOKUP(C19,'Sales Master'!$B$3:$O$2489,14,0)</f>
        <v>10</v>
      </c>
      <c r="L19" s="84">
        <f t="shared" si="0"/>
        <v>10</v>
      </c>
      <c r="M19" s="65"/>
      <c r="N19" s="145"/>
      <c r="O19" s="145"/>
      <c r="P19" s="145"/>
    </row>
    <row r="20" spans="2:16" ht="20" customHeight="1" x14ac:dyDescent="0.45">
      <c r="B20" s="258"/>
      <c r="C20" s="212" t="s">
        <v>703</v>
      </c>
      <c r="D20" s="446" t="str">
        <f>VLOOKUP(C20,'Sales Master'!B$3:D$537,2,)</f>
        <v>Mango Puree 芒果酱</v>
      </c>
      <c r="E20" s="446"/>
      <c r="F20" s="446"/>
      <c r="G20" s="76">
        <v>1</v>
      </c>
      <c r="H20" s="183" t="str">
        <f>VLOOKUP(C20,'Sales Master'!$B$3:$F$2420,5,0)</f>
        <v>1 KG/ Box盒</v>
      </c>
      <c r="I20" s="513" t="str">
        <f>VLOOKUP(C20,'Sales Master'!$B$3:$E$2420,4,0)</f>
        <v>DO!</v>
      </c>
      <c r="J20" s="513"/>
      <c r="K20" s="83">
        <f>VLOOKUP(C20,'Sales Master'!$B$3:$O$2489,14,0)</f>
        <v>9</v>
      </c>
      <c r="L20" s="84">
        <f t="shared" ref="L20:L40" si="1">K20*G20</f>
        <v>9</v>
      </c>
      <c r="M20" s="65"/>
      <c r="N20" s="145"/>
      <c r="O20" s="145"/>
      <c r="P20" s="145"/>
    </row>
    <row r="21" spans="2:16" ht="20" customHeight="1" x14ac:dyDescent="0.45">
      <c r="B21" s="258"/>
      <c r="C21" s="212" t="s">
        <v>704</v>
      </c>
      <c r="D21" s="446" t="str">
        <f>VLOOKUP(C21,'Sales Master'!B$3:D$537,2,)</f>
        <v>Strawberry Puree 草莓</v>
      </c>
      <c r="E21" s="446"/>
      <c r="F21" s="446"/>
      <c r="G21" s="76">
        <v>1</v>
      </c>
      <c r="H21" s="183" t="str">
        <f>VLOOKUP(C21,'Sales Master'!$B$3:$F$2420,5,0)</f>
        <v>1 KG/ Box盒</v>
      </c>
      <c r="I21" s="513" t="str">
        <f>VLOOKUP(C21,'Sales Master'!$B$3:$E$2420,4,0)</f>
        <v>DO!</v>
      </c>
      <c r="J21" s="513"/>
      <c r="K21" s="83">
        <f>VLOOKUP(C21,'Sales Master'!$B$3:$O$2489,14,0)</f>
        <v>10</v>
      </c>
      <c r="L21" s="84">
        <f t="shared" si="1"/>
        <v>10</v>
      </c>
      <c r="M21" s="65"/>
      <c r="N21" s="145"/>
      <c r="O21" s="145"/>
      <c r="P21" s="145"/>
    </row>
    <row r="22" spans="2:16" ht="20" customHeight="1" x14ac:dyDescent="0.45">
      <c r="B22" s="258"/>
      <c r="C22" s="212" t="s">
        <v>707</v>
      </c>
      <c r="D22" s="446" t="str">
        <f>VLOOKUP(C22,'Sales Master'!B$3:D$537,2,)</f>
        <v>Avocado 鳄梨酱</v>
      </c>
      <c r="E22" s="446"/>
      <c r="F22" s="446"/>
      <c r="G22" s="76">
        <v>2</v>
      </c>
      <c r="H22" s="183" t="str">
        <f>VLOOKUP(C22,'Sales Master'!$B$3:$F$2420,5,0)</f>
        <v>1 KG/ Box盒</v>
      </c>
      <c r="I22" s="513" t="str">
        <f>VLOOKUP(C22,'Sales Master'!$B$3:$E$2420,4,0)</f>
        <v>-</v>
      </c>
      <c r="J22" s="513"/>
      <c r="K22" s="83">
        <f>VLOOKUP(C22,'Sales Master'!$B$3:$O$2489,14,0)</f>
        <v>11</v>
      </c>
      <c r="L22" s="84">
        <f t="shared" si="1"/>
        <v>22</v>
      </c>
      <c r="M22" s="65"/>
      <c r="N22" s="145"/>
      <c r="O22" s="145"/>
      <c r="P22" s="145"/>
    </row>
    <row r="23" spans="2:16" ht="20" customHeight="1" x14ac:dyDescent="0.45">
      <c r="B23" s="258"/>
      <c r="C23" s="212" t="s">
        <v>733</v>
      </c>
      <c r="D23" s="446" t="str">
        <f>VLOOKUP(C23,'Sales Master'!B$3:D$537,2,)</f>
        <v>Tadpole JELLY  蝌蚪</v>
      </c>
      <c r="E23" s="446"/>
      <c r="F23" s="446"/>
      <c r="G23" s="76">
        <v>1</v>
      </c>
      <c r="H23" s="183" t="str">
        <f>VLOOKUP(C23,'Sales Master'!$B$3:$F$2420,5,0)</f>
        <v>1 KG/ Bag包</v>
      </c>
      <c r="I23" s="513" t="str">
        <f>VLOOKUP(C23,'Sales Master'!$B$3:$E$2420,4,0)</f>
        <v>FJ</v>
      </c>
      <c r="J23" s="513"/>
      <c r="K23" s="83">
        <f>VLOOKUP(C23,'Sales Master'!$B$3:$O$2489,14,0)</f>
        <v>6.5</v>
      </c>
      <c r="L23" s="84">
        <f t="shared" si="1"/>
        <v>6.5</v>
      </c>
      <c r="M23" s="65"/>
      <c r="N23" s="145"/>
      <c r="O23" s="145"/>
      <c r="P23" s="145"/>
    </row>
    <row r="24" spans="2:16" ht="20" customHeight="1" x14ac:dyDescent="0.45">
      <c r="B24" s="258"/>
      <c r="C24" s="212" t="s">
        <v>768</v>
      </c>
      <c r="D24" s="520" t="str">
        <f>VLOOKUP(C24,'Sales Master'!B$3:D$537,2,)</f>
        <v>Herbal Jelly Powder 龟苓膏粉</v>
      </c>
      <c r="E24" s="520"/>
      <c r="F24" s="520"/>
      <c r="G24" s="76">
        <v>2</v>
      </c>
      <c r="H24" s="183" t="str">
        <f>VLOOKUP(C24,'Sales Master'!$B$3:$F$2420,5,0)</f>
        <v>500 GM/BAG</v>
      </c>
      <c r="I24" s="513" t="str">
        <f>VLOOKUP(C24,'Sales Master'!$B$3:$E$2420,4,0)</f>
        <v>-</v>
      </c>
      <c r="J24" s="513"/>
      <c r="K24" s="83">
        <f>VLOOKUP(C24,'Sales Master'!$B$3:$O$2489,14,0)</f>
        <v>6</v>
      </c>
      <c r="L24" s="84">
        <f t="shared" si="1"/>
        <v>12</v>
      </c>
      <c r="M24" s="65"/>
      <c r="N24" s="145"/>
      <c r="O24" s="145"/>
      <c r="P24" s="145"/>
    </row>
    <row r="25" spans="2:16" ht="20" customHeight="1" x14ac:dyDescent="0.45">
      <c r="B25" s="258"/>
      <c r="C25" s="212" t="s">
        <v>779</v>
      </c>
      <c r="D25" s="520" t="str">
        <f>VLOOKUP(C25,'Sales Master'!B$3:D$537,2,)</f>
        <v>Sweet Potato Powder 番薯粉</v>
      </c>
      <c r="E25" s="520"/>
      <c r="F25" s="520"/>
      <c r="G25" s="76">
        <v>0.25</v>
      </c>
      <c r="H25" s="183" t="str">
        <f>VLOOKUP(C25,'Sales Master'!$B$3:$F$2420,5,0)</f>
        <v>(500gm x 20Pkt)箱</v>
      </c>
      <c r="I25" s="513" t="str">
        <f>VLOOKUP(C25,'Sales Master'!$B$3:$E$2420,4,0)</f>
        <v>F/man 飞人</v>
      </c>
      <c r="J25" s="513"/>
      <c r="K25" s="83">
        <f>VLOOKUP(C25,'Sales Master'!$B$3:$O$2489,14,0)</f>
        <v>40</v>
      </c>
      <c r="L25" s="84">
        <f t="shared" si="1"/>
        <v>10</v>
      </c>
      <c r="M25" s="65"/>
      <c r="N25" s="145"/>
      <c r="O25" s="145"/>
      <c r="P25" s="145"/>
    </row>
    <row r="26" spans="2:16" ht="20" customHeight="1" x14ac:dyDescent="0.45">
      <c r="B26" s="258"/>
      <c r="C26" s="212" t="s">
        <v>786</v>
      </c>
      <c r="D26" s="446" t="str">
        <f>VLOOKUP(C26,'Sales Master'!B$3:D$537,2,)</f>
        <v>Tapioca Flour 茨粉</v>
      </c>
      <c r="E26" s="446"/>
      <c r="F26" s="446"/>
      <c r="G26" s="76">
        <v>5</v>
      </c>
      <c r="H26" s="183" t="str">
        <f>VLOOKUP(C26,'Sales Master'!$B$3:$F$2420,5,0)</f>
        <v xml:space="preserve">500 GM/pkt </v>
      </c>
      <c r="I26" s="513" t="str">
        <f>VLOOKUP(C26,'Sales Master'!$B$3:$E$2420,4,0)</f>
        <v>F/man 飞人</v>
      </c>
      <c r="J26" s="513"/>
      <c r="K26" s="83">
        <f>VLOOKUP(C26,'Sales Master'!$B$3:$O$2489,14,0)</f>
        <v>0.9</v>
      </c>
      <c r="L26" s="84">
        <f t="shared" si="1"/>
        <v>4.5</v>
      </c>
      <c r="M26" s="65"/>
      <c r="N26" s="145"/>
      <c r="O26" s="145"/>
      <c r="P26" s="145"/>
    </row>
    <row r="27" spans="2:16" ht="20" customHeight="1" x14ac:dyDescent="0.45">
      <c r="B27" s="258"/>
      <c r="C27" s="212" t="s">
        <v>804</v>
      </c>
      <c r="D27" s="446" t="str">
        <f>VLOOKUP(C27,'Sales Master'!B$3:D$537,2,)</f>
        <v>Atap Seeds in Syrup 亚嗒子</v>
      </c>
      <c r="E27" s="446"/>
      <c r="F27" s="446"/>
      <c r="G27" s="76">
        <v>1</v>
      </c>
      <c r="H27" s="183" t="str">
        <f>VLOOKUP(C27,'Sales Master'!$B$3:$F$2420,5,0)</f>
        <v>NW(2.1:0.9) 3kg/ Bag包</v>
      </c>
      <c r="I27" s="513" t="str">
        <f>VLOOKUP(C27,'Sales Master'!$B$3:$E$2420,4,0)</f>
        <v>DO!</v>
      </c>
      <c r="J27" s="513"/>
      <c r="K27" s="83">
        <f>VLOOKUP(C27,'Sales Master'!$B$3:$O$2489,14,0)</f>
        <v>13.5</v>
      </c>
      <c r="L27" s="84">
        <f t="shared" si="1"/>
        <v>13.5</v>
      </c>
      <c r="M27" s="65"/>
      <c r="N27" s="145"/>
      <c r="O27" s="145"/>
      <c r="P27" s="145"/>
    </row>
    <row r="28" spans="2:16" ht="20" customHeight="1" x14ac:dyDescent="0.45">
      <c r="B28" s="258"/>
      <c r="C28" s="212" t="s">
        <v>825</v>
      </c>
      <c r="D28" s="446" t="str">
        <f>VLOOKUP(C28,'Sales Master'!B$3:D$537,2,)</f>
        <v>Green Bean 绿豆</v>
      </c>
      <c r="E28" s="446"/>
      <c r="F28" s="446"/>
      <c r="G28" s="76">
        <v>1</v>
      </c>
      <c r="H28" s="183" t="str">
        <f>VLOOKUP(C28,'Sales Master'!$B$3:$F$2420,5,0)</f>
        <v>5 KG</v>
      </c>
      <c r="I28" s="513" t="str">
        <f>VLOOKUP(C28,'Sales Master'!$B$3:$E$2420,4,0)</f>
        <v>-</v>
      </c>
      <c r="J28" s="513"/>
      <c r="K28" s="83">
        <f>VLOOKUP(C28,'Sales Master'!$B$3:$O$2489,14,0)</f>
        <v>14</v>
      </c>
      <c r="L28" s="84">
        <f t="shared" si="1"/>
        <v>14</v>
      </c>
      <c r="M28" s="65"/>
      <c r="N28" s="145"/>
      <c r="O28" s="145"/>
      <c r="P28" s="145"/>
    </row>
    <row r="29" spans="2:16" ht="20" customHeight="1" x14ac:dyDescent="0.45">
      <c r="B29" s="258"/>
      <c r="C29" s="212" t="s">
        <v>831</v>
      </c>
      <c r="D29" s="446" t="str">
        <f>VLOOKUP(C29,'Sales Master'!B$3:D$537,2,)</f>
        <v>Split Green Mung Bean 豆爽</v>
      </c>
      <c r="E29" s="446"/>
      <c r="F29" s="446"/>
      <c r="G29" s="76">
        <v>1</v>
      </c>
      <c r="H29" s="183" t="str">
        <f>VLOOKUP(C29,'Sales Master'!$B$3:$F$2420,5,0)</f>
        <v>5 KG</v>
      </c>
      <c r="I29" s="513" t="str">
        <f>VLOOKUP(C29,'Sales Master'!$B$3:$E$2420,4,0)</f>
        <v>-</v>
      </c>
      <c r="J29" s="513"/>
      <c r="K29" s="83">
        <f>VLOOKUP(C29,'Sales Master'!$B$3:$O$2489,14,0)</f>
        <v>18</v>
      </c>
      <c r="L29" s="84">
        <f t="shared" si="1"/>
        <v>18</v>
      </c>
      <c r="M29" s="65"/>
      <c r="N29" s="145"/>
      <c r="O29" s="145"/>
      <c r="P29" s="145"/>
    </row>
    <row r="30" spans="2:16" ht="20" customHeight="1" x14ac:dyDescent="0.45">
      <c r="B30" s="258"/>
      <c r="C30" s="212" t="s">
        <v>837</v>
      </c>
      <c r="D30" s="446" t="str">
        <f>VLOOKUP(C30,'Sales Master'!B$3:D$537,2,)</f>
        <v>Black Glutinous Rice 黑糯米</v>
      </c>
      <c r="E30" s="446"/>
      <c r="F30" s="446"/>
      <c r="G30" s="76">
        <v>1</v>
      </c>
      <c r="H30" s="183" t="str">
        <f>VLOOKUP(C30,'Sales Master'!$B$3:$F$2420,5,0)</f>
        <v>5 KGS</v>
      </c>
      <c r="I30" s="513" t="str">
        <f>VLOOKUP(C30,'Sales Master'!$B$3:$E$2420,4,0)</f>
        <v>-</v>
      </c>
      <c r="J30" s="513"/>
      <c r="K30" s="83">
        <f>VLOOKUP(C30,'Sales Master'!$B$3:$O$2489,14,0)</f>
        <v>18</v>
      </c>
      <c r="L30" s="84">
        <f t="shared" si="1"/>
        <v>18</v>
      </c>
      <c r="M30" s="65"/>
      <c r="N30" s="145"/>
      <c r="O30" s="145"/>
      <c r="P30" s="145"/>
    </row>
    <row r="31" spans="2:16" ht="20" customHeight="1" x14ac:dyDescent="0.45">
      <c r="B31" s="258"/>
      <c r="C31" s="212" t="s">
        <v>841</v>
      </c>
      <c r="D31" s="446" t="str">
        <f>VLOOKUP(C31,'Sales Master'!B$3:D$537,2,)</f>
        <v>White Glutinous Rice 白糯米</v>
      </c>
      <c r="E31" s="446"/>
      <c r="F31" s="446"/>
      <c r="G31" s="76">
        <v>1</v>
      </c>
      <c r="H31" s="183" t="str">
        <f>VLOOKUP(C31,'Sales Master'!$B$3:$F$2420,5,0)</f>
        <v>5 KG</v>
      </c>
      <c r="I31" s="513" t="str">
        <f>VLOOKUP(C31,'Sales Master'!$B$3:$E$2420,4,0)</f>
        <v>-</v>
      </c>
      <c r="J31" s="513"/>
      <c r="K31" s="83">
        <f>VLOOKUP(C31,'Sales Master'!$B$3:$O$2489,14,0)</f>
        <v>11</v>
      </c>
      <c r="L31" s="84">
        <f t="shared" si="1"/>
        <v>11</v>
      </c>
      <c r="M31" s="65"/>
      <c r="N31" s="145"/>
      <c r="O31" s="145"/>
      <c r="P31" s="145"/>
    </row>
    <row r="32" spans="2:16" ht="20" customHeight="1" x14ac:dyDescent="0.45">
      <c r="B32" s="258"/>
      <c r="C32" s="212" t="s">
        <v>846</v>
      </c>
      <c r="D32" s="446" t="str">
        <f>VLOOKUP(C32,'Sales Master'!B$3:D$537,2,)</f>
        <v>Pearl Barley 薏米</v>
      </c>
      <c r="E32" s="446"/>
      <c r="F32" s="446"/>
      <c r="G32" s="76">
        <v>1</v>
      </c>
      <c r="H32" s="183" t="str">
        <f>VLOOKUP(C32,'Sales Master'!$B$3:$F$2420,5,0)</f>
        <v>5 KG</v>
      </c>
      <c r="I32" s="513" t="str">
        <f>VLOOKUP(C32,'Sales Master'!$B$3:$E$2420,4,0)</f>
        <v>-</v>
      </c>
      <c r="J32" s="513"/>
      <c r="K32" s="83">
        <f>VLOOKUP(C32,'Sales Master'!$B$3:$O$2489,14,0)</f>
        <v>10</v>
      </c>
      <c r="L32" s="84">
        <f t="shared" si="1"/>
        <v>10</v>
      </c>
      <c r="M32" s="65"/>
      <c r="N32" s="145"/>
      <c r="O32" s="145"/>
      <c r="P32" s="145"/>
    </row>
    <row r="33" spans="2:16" ht="20" customHeight="1" x14ac:dyDescent="0.45">
      <c r="B33" s="258"/>
      <c r="C33" s="212" t="s">
        <v>923</v>
      </c>
      <c r="D33" s="446" t="str">
        <f>VLOOKUP(C33,'Sales Master'!B$3:D$537,2,)</f>
        <v>Sea Coconut 海底椰</v>
      </c>
      <c r="E33" s="446"/>
      <c r="F33" s="446"/>
      <c r="G33" s="76">
        <v>1</v>
      </c>
      <c r="H33" s="183" t="str">
        <f>VLOOKUP(C33,'Sales Master'!$B$3:$F$2420,5,0)</f>
        <v>1 Can X A10</v>
      </c>
      <c r="I33" s="513" t="str">
        <f>VLOOKUP(C33,'Sales Master'!$B$3:$E$2420,4,0)</f>
        <v>Chefs</v>
      </c>
      <c r="J33" s="513"/>
      <c r="K33" s="83">
        <f>VLOOKUP(C33,'Sales Master'!$B$3:$O$2489,14,0)</f>
        <v>20</v>
      </c>
      <c r="L33" s="84">
        <f t="shared" si="1"/>
        <v>20</v>
      </c>
      <c r="M33" s="65"/>
      <c r="N33" s="145"/>
      <c r="O33" s="145"/>
      <c r="P33" s="145"/>
    </row>
    <row r="34" spans="2:16" ht="20" customHeight="1" x14ac:dyDescent="0.45">
      <c r="B34" s="258"/>
      <c r="C34" s="212" t="s">
        <v>946</v>
      </c>
      <c r="D34" s="446" t="str">
        <f>VLOOKUP(C34,'Sales Master'!B$3:D$537,2,)</f>
        <v>Carnation Milk 三花淡奶水</v>
      </c>
      <c r="E34" s="446"/>
      <c r="F34" s="446"/>
      <c r="G34" s="76">
        <v>1</v>
      </c>
      <c r="H34" s="183" t="str">
        <f>VLOOKUP(C34,'Sales Master'!$B$3:$F$2420,5,0)</f>
        <v>405 GM x 48/ Ctn箱</v>
      </c>
      <c r="I34" s="513" t="str">
        <f>VLOOKUP(C34,'Sales Master'!$B$3:$E$2420,4,0)</f>
        <v>Threeflower</v>
      </c>
      <c r="J34" s="513"/>
      <c r="K34" s="83">
        <f>VLOOKUP(C34,'Sales Master'!$B$3:$O$2489,14,0)</f>
        <v>58</v>
      </c>
      <c r="L34" s="84">
        <f t="shared" si="1"/>
        <v>58</v>
      </c>
      <c r="M34" s="65"/>
      <c r="N34" s="145"/>
      <c r="O34" s="145"/>
      <c r="P34" s="145"/>
    </row>
    <row r="35" spans="2:16" ht="20" customHeight="1" x14ac:dyDescent="0.45">
      <c r="B35" s="258"/>
      <c r="C35" s="212" t="s">
        <v>963</v>
      </c>
      <c r="D35" s="446" t="str">
        <f>VLOOKUP(C35,'Sales Master'!B$3:D$537,2,)</f>
        <v>Water Chestnut 马蹄罐</v>
      </c>
      <c r="E35" s="446"/>
      <c r="F35" s="446"/>
      <c r="G35" s="76">
        <v>1</v>
      </c>
      <c r="H35" s="183" t="str">
        <f>VLOOKUP(C35,'Sales Master'!$B$3:$F$2420,5,0)</f>
        <v>(567gm x 24)/箱</v>
      </c>
      <c r="I35" s="513" t="str">
        <f>VLOOKUP(C35,'Sales Master'!$B$3:$E$2420,4,0)</f>
        <v>MiLi</v>
      </c>
      <c r="J35" s="513"/>
      <c r="K35" s="83">
        <f>VLOOKUP(C35,'Sales Master'!$B$3:$O$2489,14,0)</f>
        <v>38</v>
      </c>
      <c r="L35" s="84">
        <f t="shared" si="1"/>
        <v>38</v>
      </c>
      <c r="M35" s="65"/>
      <c r="N35" s="145"/>
      <c r="O35" s="145"/>
      <c r="P35" s="145"/>
    </row>
    <row r="36" spans="2:16" ht="20" customHeight="1" x14ac:dyDescent="0.45">
      <c r="B36" s="258"/>
      <c r="C36" s="212" t="s">
        <v>966</v>
      </c>
      <c r="D36" s="446" t="str">
        <f>VLOOKUP(C36,'Sales Master'!B$3:D$537,2,)</f>
        <v>Coconut Milk 椰浆</v>
      </c>
      <c r="E36" s="446"/>
      <c r="F36" s="446"/>
      <c r="G36" s="76">
        <v>1</v>
      </c>
      <c r="H36" s="183" t="str">
        <f>VLOOKUP(C36,'Sales Master'!$B$3:$F$2420,5,0)</f>
        <v>(1L x 12bag)/箱</v>
      </c>
      <c r="I36" s="513" t="str">
        <f>VLOOKUP(C36,'Sales Master'!$B$3:$E$2420,4,0)</f>
        <v>Kara UHT</v>
      </c>
      <c r="J36" s="513"/>
      <c r="K36" s="83">
        <f>VLOOKUP(C36,'Sales Master'!$B$3:$O$2489,14,0)</f>
        <v>55</v>
      </c>
      <c r="L36" s="84">
        <f t="shared" si="1"/>
        <v>55</v>
      </c>
      <c r="M36" s="65"/>
      <c r="N36" s="145"/>
      <c r="O36" s="145"/>
      <c r="P36" s="145"/>
    </row>
    <row r="37" spans="2:16" ht="20" customHeight="1" x14ac:dyDescent="0.45">
      <c r="B37" s="258"/>
      <c r="C37" s="212" t="s">
        <v>987</v>
      </c>
      <c r="D37" s="446" t="str">
        <f>VLOOKUP(C37,'Sales Master'!B$3:D$537,2,)</f>
        <v>Brown Sugar 黑糖</v>
      </c>
      <c r="E37" s="446"/>
      <c r="F37" s="446"/>
      <c r="G37" s="76">
        <v>1</v>
      </c>
      <c r="H37" s="183" t="str">
        <f>VLOOKUP(C37,'Sales Master'!$B$3:$F$2420,5,0)</f>
        <v>6 KG</v>
      </c>
      <c r="I37" s="513" t="str">
        <f>VLOOKUP(C37,'Sales Master'!$B$3:$E$2420,4,0)</f>
        <v>Star</v>
      </c>
      <c r="J37" s="513"/>
      <c r="K37" s="83">
        <f>VLOOKUP(C37,'Sales Master'!$B$3:$O$2489,14,0)</f>
        <v>16.5</v>
      </c>
      <c r="L37" s="84">
        <f t="shared" si="1"/>
        <v>16.5</v>
      </c>
      <c r="M37" s="65"/>
    </row>
    <row r="38" spans="2:16" ht="20" customHeight="1" x14ac:dyDescent="0.45">
      <c r="B38" s="258"/>
      <c r="C38" s="212" t="s">
        <v>989</v>
      </c>
      <c r="D38" s="446" t="str">
        <f>VLOOKUP(C38,'Sales Master'!B$3:D$537,2,)</f>
        <v>Red Sugar 赤糖</v>
      </c>
      <c r="E38" s="446"/>
      <c r="F38" s="446"/>
      <c r="G38" s="76">
        <v>1</v>
      </c>
      <c r="H38" s="183" t="str">
        <f>VLOOKUP(C38,'Sales Master'!$B$3:$F$2420,5,0)</f>
        <v>6 KG</v>
      </c>
      <c r="I38" s="513" t="str">
        <f>VLOOKUP(C38,'Sales Master'!$B$3:$E$2420,4,0)</f>
        <v>Star</v>
      </c>
      <c r="J38" s="513"/>
      <c r="K38" s="83">
        <f>VLOOKUP(C38,'Sales Master'!$B$3:$O$2489,14,0)</f>
        <v>16.5</v>
      </c>
      <c r="L38" s="84">
        <f t="shared" si="1"/>
        <v>16.5</v>
      </c>
      <c r="M38" s="65"/>
    </row>
    <row r="39" spans="2:16" ht="20" customHeight="1" x14ac:dyDescent="0.45">
      <c r="B39" s="258"/>
      <c r="C39" s="212" t="s">
        <v>990</v>
      </c>
      <c r="D39" s="446" t="str">
        <f>VLOOKUP(C39,'Sales Master'!B$3:D$537,2,)</f>
        <v>Fine Sugar 白糖</v>
      </c>
      <c r="E39" s="446"/>
      <c r="F39" s="446"/>
      <c r="G39" s="76">
        <v>1</v>
      </c>
      <c r="H39" s="183" t="str">
        <f>VLOOKUP(C39,'Sales Master'!$B$3:$F$2420,5,0)</f>
        <v>25 KGS</v>
      </c>
      <c r="I39" s="513" t="str">
        <f>VLOOKUP(C39,'Sales Master'!$B$3:$E$2420,4,0)</f>
        <v>MITR PHOL/ 蜜朋</v>
      </c>
      <c r="J39" s="513"/>
      <c r="K39" s="83">
        <f>VLOOKUP(C39,'Sales Master'!$B$3:$O$2489,14,0)</f>
        <v>31.5</v>
      </c>
      <c r="L39" s="84">
        <f t="shared" si="1"/>
        <v>31.5</v>
      </c>
      <c r="M39" s="65"/>
    </row>
    <row r="40" spans="2:16" ht="20" customHeight="1" x14ac:dyDescent="0.45">
      <c r="B40" s="258"/>
      <c r="C40" s="212" t="s">
        <v>993</v>
      </c>
      <c r="D40" s="446" t="str">
        <f>VLOOKUP(C40,'Sales Master'!B$3:D$537,2,)</f>
        <v>Coconut Sugar 椰糖</v>
      </c>
      <c r="E40" s="446"/>
      <c r="F40" s="446"/>
      <c r="G40" s="76">
        <v>1</v>
      </c>
      <c r="H40" s="183" t="str">
        <f>VLOOKUP(C40,'Sales Master'!$B$3:$F$2420,5,0)</f>
        <v>10 KG/ ctn</v>
      </c>
      <c r="I40" s="513" t="str">
        <f>VLOOKUP(C40,'Sales Master'!$B$3:$E$2420,4,0)</f>
        <v>2P</v>
      </c>
      <c r="J40" s="513"/>
      <c r="K40" s="83">
        <f>VLOOKUP(C40,'Sales Master'!$B$3:$O$2489,14,0)</f>
        <v>36</v>
      </c>
      <c r="L40" s="84">
        <f t="shared" si="1"/>
        <v>36</v>
      </c>
      <c r="M40" s="65"/>
      <c r="N40" s="145"/>
      <c r="O40" s="145"/>
      <c r="P40" s="145"/>
    </row>
    <row r="41" spans="2:16" ht="20" customHeight="1" x14ac:dyDescent="0.45">
      <c r="B41" s="258"/>
      <c r="C41" s="212"/>
      <c r="D41" s="446"/>
      <c r="E41" s="446"/>
      <c r="F41" s="446"/>
      <c r="G41" s="76"/>
      <c r="H41" s="183"/>
      <c r="I41" s="513"/>
      <c r="J41" s="513"/>
      <c r="K41" s="83"/>
      <c r="L41" s="84"/>
      <c r="M41" s="65"/>
      <c r="N41" s="145"/>
      <c r="O41" s="145"/>
      <c r="P41" s="145"/>
    </row>
    <row r="42" spans="2:16" ht="20" customHeight="1" x14ac:dyDescent="0.45">
      <c r="B42" s="258"/>
      <c r="C42" s="212"/>
      <c r="D42" s="446"/>
      <c r="E42" s="446"/>
      <c r="F42" s="446"/>
      <c r="G42" s="76"/>
      <c r="H42" s="183"/>
      <c r="I42" s="513"/>
      <c r="J42" s="513"/>
      <c r="K42" s="83"/>
      <c r="L42" s="84"/>
      <c r="M42" s="65"/>
      <c r="N42" s="145"/>
      <c r="O42" s="145"/>
      <c r="P42" s="145"/>
    </row>
    <row r="43" spans="2:16" ht="20" customHeight="1" x14ac:dyDescent="0.45">
      <c r="B43" s="258"/>
      <c r="C43" s="212"/>
      <c r="D43" s="446"/>
      <c r="E43" s="446"/>
      <c r="F43" s="446"/>
      <c r="G43" s="76"/>
      <c r="H43" s="183"/>
      <c r="I43" s="513"/>
      <c r="J43" s="513"/>
      <c r="K43" s="83"/>
      <c r="L43" s="84"/>
      <c r="M43" s="65"/>
      <c r="N43" s="145"/>
      <c r="O43" s="145"/>
      <c r="P43" s="145"/>
    </row>
    <row r="44" spans="2:16" ht="20.149999999999999" customHeight="1" thickBot="1" x14ac:dyDescent="0.5">
      <c r="B44" s="32"/>
      <c r="C44" s="33"/>
      <c r="D44" s="529"/>
      <c r="E44" s="529"/>
      <c r="F44" s="529"/>
      <c r="G44" s="113"/>
      <c r="H44" s="57"/>
      <c r="I44" s="530"/>
      <c r="J44" s="530"/>
      <c r="K44" s="114"/>
      <c r="L44" s="115"/>
    </row>
    <row r="45" spans="2:16" ht="20.149999999999999" customHeight="1" thickBot="1" x14ac:dyDescent="0.5">
      <c r="B45" s="36"/>
      <c r="G45" s="65"/>
      <c r="L45" s="37"/>
    </row>
    <row r="46" spans="2:16" ht="20.149999999999999" customHeight="1" x14ac:dyDescent="0.45">
      <c r="B46" s="10" t="s">
        <v>16</v>
      </c>
      <c r="C46" s="6"/>
      <c r="D46" s="6"/>
      <c r="E46" s="6"/>
      <c r="F46" s="6"/>
      <c r="G46" s="6"/>
      <c r="H46" s="6"/>
      <c r="I46" s="6"/>
      <c r="J46" s="489" t="s">
        <v>13</v>
      </c>
      <c r="K46" s="490"/>
      <c r="L46" s="38">
        <f>SUM(L18:L45)</f>
        <v>474</v>
      </c>
      <c r="M46" s="63">
        <f>SUM(P18:P45)</f>
        <v>0</v>
      </c>
      <c r="N46" s="133">
        <f>M46/L46</f>
        <v>0</v>
      </c>
    </row>
    <row r="47" spans="2:16" ht="20.149999999999999" customHeight="1" x14ac:dyDescent="0.45">
      <c r="B47" s="10" t="s">
        <v>17</v>
      </c>
      <c r="C47" s="6"/>
      <c r="D47" s="6"/>
      <c r="E47" s="6"/>
      <c r="F47" s="6"/>
      <c r="G47" s="6"/>
      <c r="H47" s="6"/>
      <c r="I47" s="6"/>
      <c r="J47" s="39" t="s">
        <v>20</v>
      </c>
      <c r="K47" s="40"/>
      <c r="L47" s="41">
        <f>L46*K47</f>
        <v>0</v>
      </c>
    </row>
    <row r="48" spans="2:16" ht="20.149999999999999" customHeight="1" x14ac:dyDescent="0.45">
      <c r="B48" s="10" t="s">
        <v>18</v>
      </c>
      <c r="C48" s="6"/>
      <c r="D48" s="6"/>
      <c r="E48" s="6"/>
      <c r="F48" s="6"/>
      <c r="G48" s="6"/>
      <c r="H48" s="6"/>
      <c r="I48" s="6"/>
      <c r="J48" s="491" t="s">
        <v>19</v>
      </c>
      <c r="K48" s="492"/>
      <c r="L48" s="41">
        <f>L46-L47</f>
        <v>474</v>
      </c>
    </row>
    <row r="49" spans="2:12" ht="20.149999999999999" customHeight="1" x14ac:dyDescent="0.45">
      <c r="B49" s="10" t="s">
        <v>22</v>
      </c>
      <c r="C49" s="6"/>
      <c r="D49" s="6"/>
      <c r="E49" s="6"/>
      <c r="F49" s="6"/>
      <c r="G49" s="6"/>
      <c r="H49" s="6"/>
      <c r="I49" s="6"/>
      <c r="J49" s="102" t="s">
        <v>15</v>
      </c>
      <c r="K49" s="103">
        <f>'Sales Master'!$B$1</f>
        <v>0.09</v>
      </c>
      <c r="L49" s="42">
        <f>L48*K49</f>
        <v>42.66</v>
      </c>
    </row>
    <row r="50" spans="2:12" ht="20.149999999999999" customHeight="1" thickBot="1" x14ac:dyDescent="0.5">
      <c r="B50" s="10" t="s">
        <v>676</v>
      </c>
      <c r="C50" s="6"/>
      <c r="D50" s="6"/>
      <c r="E50" s="6"/>
      <c r="F50" s="6"/>
      <c r="G50" s="6"/>
      <c r="H50" s="6"/>
      <c r="I50" s="6"/>
      <c r="J50" s="485" t="s">
        <v>21</v>
      </c>
      <c r="K50" s="486"/>
      <c r="L50" s="43">
        <f>L48+L49</f>
        <v>516.66</v>
      </c>
    </row>
    <row r="51" spans="2:12" ht="20.149999999999999" customHeight="1" x14ac:dyDescent="0.45">
      <c r="B51" s="10" t="s">
        <v>24</v>
      </c>
      <c r="C51" s="6"/>
      <c r="D51" s="6"/>
      <c r="E51" s="6"/>
      <c r="F51" s="6"/>
      <c r="G51" s="6"/>
      <c r="H51" s="6"/>
      <c r="I51" s="6"/>
      <c r="L51" s="37"/>
    </row>
    <row r="52" spans="2:12" ht="20.149999999999999" customHeight="1" x14ac:dyDescent="0.45">
      <c r="B52" s="144" t="s">
        <v>666</v>
      </c>
      <c r="L52" s="37"/>
    </row>
    <row r="53" spans="2:12" ht="20.149999999999999" customHeight="1" x14ac:dyDescent="0.45">
      <c r="B53" s="144"/>
      <c r="L53" s="37"/>
    </row>
    <row r="54" spans="2:12" ht="20.149999999999999" customHeight="1" x14ac:dyDescent="0.45">
      <c r="B54" s="144"/>
      <c r="L54" s="37"/>
    </row>
    <row r="55" spans="2:12" ht="20.149999999999999" customHeight="1" x14ac:dyDescent="0.45">
      <c r="B55" s="36"/>
      <c r="L55" s="37"/>
    </row>
    <row r="56" spans="2:12" ht="20.149999999999999" customHeight="1" x14ac:dyDescent="0.45">
      <c r="B56" s="44"/>
      <c r="C56" s="45"/>
      <c r="D56" s="45"/>
      <c r="J56" s="45"/>
      <c r="K56" s="45"/>
      <c r="L56" s="46"/>
    </row>
    <row r="57" spans="2:12" ht="20.149999999999999" customHeight="1" x14ac:dyDescent="0.45">
      <c r="B57" s="36" t="s">
        <v>25</v>
      </c>
      <c r="J57" s="19" t="s">
        <v>26</v>
      </c>
      <c r="L57" s="37"/>
    </row>
    <row r="58" spans="2:12" ht="19" thickBot="1" x14ac:dyDescent="0.5">
      <c r="B58" s="47"/>
      <c r="C58" s="48"/>
      <c r="D58" s="48"/>
      <c r="E58" s="48"/>
      <c r="F58" s="48"/>
      <c r="G58" s="48"/>
      <c r="H58" s="48"/>
      <c r="I58" s="48"/>
      <c r="J58" s="48"/>
      <c r="K58" s="48"/>
      <c r="L58" s="49"/>
    </row>
    <row r="59" spans="2:12" ht="20.5" x14ac:dyDescent="0.45">
      <c r="F59" s="202"/>
    </row>
    <row r="1048562" spans="4:6" x14ac:dyDescent="0.45">
      <c r="D1048562" s="446"/>
      <c r="E1048562" s="446"/>
      <c r="F1048562" s="446"/>
    </row>
  </sheetData>
  <mergeCells count="72">
    <mergeCell ref="I20:J20"/>
    <mergeCell ref="I21:J21"/>
    <mergeCell ref="I22:J22"/>
    <mergeCell ref="I23:J23"/>
    <mergeCell ref="I24:J24"/>
    <mergeCell ref="I25:J25"/>
    <mergeCell ref="I26:J26"/>
    <mergeCell ref="I27:J27"/>
    <mergeCell ref="J46:K46"/>
    <mergeCell ref="J48:K48"/>
    <mergeCell ref="I28:J28"/>
    <mergeCell ref="I29:J29"/>
    <mergeCell ref="I30:J30"/>
    <mergeCell ref="I31:J31"/>
    <mergeCell ref="J50:K50"/>
    <mergeCell ref="D1048562:F1048562"/>
    <mergeCell ref="D20:F20"/>
    <mergeCell ref="D21:F21"/>
    <mergeCell ref="D22:F22"/>
    <mergeCell ref="D23:F23"/>
    <mergeCell ref="D24:F24"/>
    <mergeCell ref="D25:F25"/>
    <mergeCell ref="D42:F42"/>
    <mergeCell ref="I42:J42"/>
    <mergeCell ref="D43:F43"/>
    <mergeCell ref="I43:J43"/>
    <mergeCell ref="D44:F44"/>
    <mergeCell ref="I44:J44"/>
    <mergeCell ref="D40:F40"/>
    <mergeCell ref="I40:J40"/>
    <mergeCell ref="D41:F41"/>
    <mergeCell ref="I41:J41"/>
    <mergeCell ref="D37:F37"/>
    <mergeCell ref="I37:J37"/>
    <mergeCell ref="D38:F38"/>
    <mergeCell ref="I38:J38"/>
    <mergeCell ref="D39:F39"/>
    <mergeCell ref="I39:J39"/>
    <mergeCell ref="D34:F34"/>
    <mergeCell ref="I34:J34"/>
    <mergeCell ref="D35:F35"/>
    <mergeCell ref="I35:J35"/>
    <mergeCell ref="D36:F36"/>
    <mergeCell ref="I36:J36"/>
    <mergeCell ref="D32:F32"/>
    <mergeCell ref="I32:J32"/>
    <mergeCell ref="D33:F33"/>
    <mergeCell ref="I33:J33"/>
    <mergeCell ref="D26:F26"/>
    <mergeCell ref="D27:F27"/>
    <mergeCell ref="D28:F28"/>
    <mergeCell ref="D29:F29"/>
    <mergeCell ref="D30:F30"/>
    <mergeCell ref="D31:F31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4:D14"/>
    <mergeCell ref="K14:L14"/>
    <mergeCell ref="N11:P11"/>
    <mergeCell ref="B12:D12"/>
    <mergeCell ref="K12:L12"/>
    <mergeCell ref="B13:D13"/>
    <mergeCell ref="K13:L13"/>
  </mergeCells>
  <conditionalFormatting sqref="C18">
    <cfRule type="duplicateValues" dxfId="15" priority="5"/>
  </conditionalFormatting>
  <conditionalFormatting sqref="C44">
    <cfRule type="duplicateValues" dxfId="14" priority="3"/>
    <cfRule type="duplicateValues" dxfId="13" priority="4"/>
  </conditionalFormatting>
  <conditionalFormatting sqref="N11">
    <cfRule type="duplicateValues" dxfId="12" priority="2"/>
  </conditionalFormatting>
  <pageMargins left="0.70866141732283472" right="0.31496062992125984" top="0.23622047244094491" bottom="0.23622047244094491" header="0.31496062992125984" footer="0.31496062992125984"/>
  <pageSetup paperSize="9" scale="6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66551-8FB2-4C72-AFB0-E310DC6E5415}">
  <sheetPr>
    <tabColor rgb="FFFF0000"/>
    <pageSetUpPr fitToPage="1"/>
  </sheetPr>
  <dimension ref="B1:V48"/>
  <sheetViews>
    <sheetView topLeftCell="A7" workbookViewId="0">
      <selection activeCell="K39" sqref="K39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8.81640625" style="19" customWidth="1"/>
    <col min="7" max="7" width="8.54296875" style="19" customWidth="1"/>
    <col min="8" max="8" width="16.81640625" style="19" customWidth="1"/>
    <col min="9" max="9" width="1.81640625" style="19" customWidth="1"/>
    <col min="10" max="10" width="13.17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114</v>
      </c>
      <c r="J10" s="24" t="s">
        <v>27</v>
      </c>
      <c r="K10" s="464">
        <v>202311651</v>
      </c>
      <c r="L10" s="465"/>
    </row>
    <row r="11" spans="2:12" ht="20.149999999999999" customHeight="1" x14ac:dyDescent="0.45">
      <c r="B11" s="466"/>
      <c r="C11" s="467"/>
      <c r="D11" s="468"/>
      <c r="E11" s="25"/>
      <c r="F11" s="469" t="str">
        <f>VLOOKUP(H10,'Delivery Location'!A$4:N$466,2,0)</f>
        <v>MOB: 97541469                                                                 4, WOODLANDS STREET 12        MARSILING MALL #01-55                 SINGAPORE 738620</v>
      </c>
      <c r="G11" s="470"/>
      <c r="H11" s="471"/>
      <c r="J11" s="26" t="s">
        <v>9</v>
      </c>
      <c r="K11" s="478">
        <v>45260</v>
      </c>
      <c r="L11" s="479"/>
    </row>
    <row r="12" spans="2:12" ht="20.149999999999999" customHeight="1" x14ac:dyDescent="0.45">
      <c r="B12" s="480"/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/>
      <c r="C13" s="453"/>
      <c r="D13" s="481"/>
      <c r="E13" s="25"/>
      <c r="F13" s="472"/>
      <c r="G13" s="473"/>
      <c r="H13" s="474"/>
      <c r="J13" s="26" t="s">
        <v>10</v>
      </c>
      <c r="K13" s="482" t="s">
        <v>451</v>
      </c>
      <c r="L13" s="483"/>
    </row>
    <row r="14" spans="2:12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18"/>
      <c r="C15" s="509"/>
      <c r="D15" s="510"/>
      <c r="E15" s="21"/>
      <c r="F15" s="475"/>
      <c r="G15" s="476"/>
      <c r="H15" s="477"/>
      <c r="J15" s="27" t="s">
        <v>11</v>
      </c>
      <c r="K15" s="119"/>
      <c r="L15" s="118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/>
      <c r="C18" s="212" t="s">
        <v>713</v>
      </c>
      <c r="D18" s="19" t="str">
        <f>VLOOKUP(C18,'Sales Master'!B$3:D$537,2,)</f>
        <v>Chendol 浆咯</v>
      </c>
      <c r="G18" s="76">
        <v>3</v>
      </c>
      <c r="H18" s="56" t="str">
        <f>VLOOKUP(C18,'Sales Master'!$B$3:$F$2420,5,0)</f>
        <v>NW(2.2:0.8) 3kg/ Pkt包</v>
      </c>
      <c r="I18" s="494" t="str">
        <f>VLOOKUP(C18,'Sales Master'!$B$3:$E$2420,4,0)</f>
        <v>DO!</v>
      </c>
      <c r="J18" s="494"/>
      <c r="K18" s="30">
        <f>VLOOKUP($C18,'Sales Master'!$B3:$AA3031,26,0)</f>
        <v>7</v>
      </c>
      <c r="L18" s="64">
        <f>K18*G18</f>
        <v>21</v>
      </c>
      <c r="M18" s="65"/>
      <c r="N18" s="145">
        <f>VLOOKUP(C18,'Sales Master'!$B$3:$DA$2279,104,0)</f>
        <v>2.44</v>
      </c>
      <c r="O18" s="145">
        <f>K18-N18</f>
        <v>4.5600000000000005</v>
      </c>
      <c r="P18" s="145">
        <f>O18*G18</f>
        <v>13.680000000000001</v>
      </c>
      <c r="R18" s="19">
        <v>1</v>
      </c>
      <c r="S18" s="19" t="s">
        <v>54</v>
      </c>
      <c r="T18" s="19" t="s">
        <v>328</v>
      </c>
      <c r="V18" s="19">
        <v>6.5</v>
      </c>
    </row>
    <row r="19" spans="2:22" ht="20.149999999999999" customHeight="1" x14ac:dyDescent="0.45">
      <c r="B19" s="58"/>
      <c r="C19" s="17"/>
      <c r="G19" s="76"/>
      <c r="H19" s="56"/>
      <c r="I19" s="494"/>
      <c r="J19" s="494"/>
      <c r="K19" s="30"/>
      <c r="L19" s="64"/>
      <c r="M19" s="65"/>
      <c r="N19" s="145"/>
      <c r="O19" s="145"/>
      <c r="P19" s="145"/>
      <c r="R19" s="19">
        <v>2</v>
      </c>
      <c r="S19" s="19" t="s">
        <v>196</v>
      </c>
      <c r="T19" s="19" t="s">
        <v>32</v>
      </c>
      <c r="V19" s="19">
        <v>12</v>
      </c>
    </row>
    <row r="20" spans="2:22" ht="20.149999999999999" customHeight="1" x14ac:dyDescent="0.45">
      <c r="B20" s="58"/>
      <c r="C20" s="17"/>
      <c r="D20" s="493"/>
      <c r="E20" s="493"/>
      <c r="F20" s="493"/>
      <c r="G20" s="76"/>
      <c r="H20" s="56"/>
      <c r="I20" s="494"/>
      <c r="J20" s="494"/>
      <c r="K20" s="30"/>
      <c r="L20" s="64"/>
      <c r="M20" s="65"/>
      <c r="N20" s="145"/>
      <c r="O20" s="145"/>
      <c r="P20" s="145"/>
      <c r="R20" s="19">
        <v>3</v>
      </c>
      <c r="S20" s="19" t="s">
        <v>34</v>
      </c>
      <c r="T20" s="19" t="s">
        <v>32</v>
      </c>
      <c r="V20" s="19">
        <v>1.5</v>
      </c>
    </row>
    <row r="21" spans="2:22" ht="20.149999999999999" customHeight="1" x14ac:dyDescent="0.45">
      <c r="B21" s="58"/>
      <c r="C21" s="17"/>
      <c r="D21" s="493"/>
      <c r="E21" s="493"/>
      <c r="F21" s="493"/>
      <c r="G21" s="76"/>
      <c r="H21" s="56"/>
      <c r="I21" s="494"/>
      <c r="J21" s="494"/>
      <c r="K21" s="30"/>
      <c r="L21" s="64"/>
      <c r="M21" s="65"/>
      <c r="N21" s="145"/>
      <c r="O21" s="145"/>
      <c r="P21" s="145"/>
    </row>
    <row r="22" spans="2:22" ht="20.149999999999999" customHeight="1" x14ac:dyDescent="0.45">
      <c r="B22" s="58"/>
      <c r="C22" s="17"/>
      <c r="G22" s="76"/>
      <c r="H22" s="56"/>
      <c r="I22" s="494"/>
      <c r="J22" s="494"/>
      <c r="K22" s="30"/>
      <c r="L22" s="64"/>
      <c r="M22" s="65"/>
      <c r="N22" s="145"/>
      <c r="O22" s="145"/>
      <c r="P22" s="145"/>
      <c r="R22" s="19">
        <v>1</v>
      </c>
      <c r="S22" s="19" t="s">
        <v>43</v>
      </c>
      <c r="T22" s="19" t="s">
        <v>428</v>
      </c>
      <c r="V22" s="19">
        <v>18</v>
      </c>
    </row>
    <row r="23" spans="2:22" ht="20.149999999999999" customHeight="1" x14ac:dyDescent="0.45">
      <c r="B23" s="58"/>
      <c r="C23" s="17"/>
      <c r="G23" s="76"/>
      <c r="H23" s="56"/>
      <c r="I23" s="494"/>
      <c r="J23" s="494"/>
      <c r="K23" s="30"/>
      <c r="L23" s="64"/>
      <c r="M23" s="65"/>
      <c r="N23" s="145"/>
      <c r="O23" s="145"/>
      <c r="P23" s="145"/>
    </row>
    <row r="24" spans="2:22" ht="20.149999999999999" customHeight="1" x14ac:dyDescent="0.45">
      <c r="B24" s="58"/>
      <c r="C24" s="17"/>
      <c r="G24" s="76"/>
      <c r="H24" s="56"/>
      <c r="I24" s="494"/>
      <c r="J24" s="494"/>
      <c r="K24" s="30"/>
      <c r="L24" s="64"/>
      <c r="M24" s="65"/>
      <c r="N24" s="145"/>
      <c r="O24" s="145"/>
      <c r="P24" s="145"/>
    </row>
    <row r="25" spans="2:22" ht="20.149999999999999" customHeight="1" x14ac:dyDescent="0.45">
      <c r="B25" s="58"/>
      <c r="C25" s="17"/>
      <c r="G25" s="76"/>
      <c r="H25" s="56"/>
      <c r="I25" s="494"/>
      <c r="J25" s="494"/>
      <c r="K25" s="30"/>
      <c r="L25" s="64"/>
      <c r="M25" s="65"/>
      <c r="N25" s="145"/>
      <c r="O25" s="145"/>
      <c r="P25" s="145"/>
    </row>
    <row r="26" spans="2:22" ht="20.149999999999999" customHeight="1" x14ac:dyDescent="0.45">
      <c r="B26" s="58"/>
      <c r="C26" s="17"/>
      <c r="G26" s="76"/>
      <c r="H26" s="56"/>
      <c r="I26" s="494"/>
      <c r="J26" s="494"/>
      <c r="K26" s="30"/>
      <c r="L26" s="64"/>
      <c r="M26" s="65"/>
      <c r="N26" s="145"/>
      <c r="O26" s="145"/>
      <c r="P26" s="145"/>
    </row>
    <row r="27" spans="2:22" ht="20.149999999999999" customHeight="1" x14ac:dyDescent="0.45">
      <c r="B27" s="58"/>
      <c r="C27" s="17"/>
      <c r="G27" s="76"/>
      <c r="H27" s="56"/>
      <c r="I27" s="494"/>
      <c r="J27" s="494"/>
      <c r="K27" s="30"/>
      <c r="L27" s="64"/>
      <c r="M27" s="65"/>
      <c r="N27" s="145"/>
      <c r="O27" s="145"/>
      <c r="P27" s="145"/>
    </row>
    <row r="28" spans="2:22" ht="20.149999999999999" customHeight="1" x14ac:dyDescent="0.45">
      <c r="B28" s="58"/>
      <c r="C28" s="17"/>
      <c r="G28" s="76"/>
      <c r="H28" s="56"/>
      <c r="I28" s="494"/>
      <c r="J28" s="494"/>
      <c r="K28" s="30"/>
      <c r="L28" s="64"/>
      <c r="M28" s="65"/>
      <c r="N28" s="145"/>
      <c r="O28" s="145"/>
      <c r="P28" s="145"/>
    </row>
    <row r="29" spans="2:22" ht="20.149999999999999" customHeight="1" x14ac:dyDescent="0.45">
      <c r="B29" s="58"/>
      <c r="C29" s="17"/>
      <c r="G29" s="76"/>
      <c r="H29" s="56"/>
      <c r="I29" s="494"/>
      <c r="J29" s="494"/>
      <c r="K29" s="30"/>
      <c r="L29" s="64"/>
      <c r="M29" s="65"/>
      <c r="N29" s="145"/>
      <c r="O29" s="145"/>
      <c r="P29" s="145"/>
    </row>
    <row r="30" spans="2:22" ht="20.149999999999999" customHeight="1" x14ac:dyDescent="0.45">
      <c r="B30" s="58"/>
      <c r="C30" s="17"/>
      <c r="G30" s="76"/>
      <c r="H30" s="56"/>
      <c r="I30" s="494"/>
      <c r="J30" s="494"/>
      <c r="K30" s="30"/>
      <c r="L30" s="64"/>
      <c r="M30" s="65"/>
      <c r="N30" s="145"/>
      <c r="O30" s="145"/>
      <c r="P30" s="145"/>
    </row>
    <row r="31" spans="2:22" ht="20.149999999999999" customHeight="1" x14ac:dyDescent="0.45">
      <c r="B31" s="58"/>
      <c r="C31" s="17"/>
      <c r="G31" s="76"/>
      <c r="H31" s="56"/>
      <c r="I31" s="494"/>
      <c r="J31" s="494"/>
      <c r="K31" s="30"/>
      <c r="L31" s="64"/>
      <c r="M31" s="65"/>
    </row>
    <row r="32" spans="2:22" ht="20.149999999999999" customHeight="1" x14ac:dyDescent="0.45">
      <c r="B32" s="58"/>
      <c r="C32" s="17"/>
      <c r="G32" s="76"/>
      <c r="H32" s="56"/>
      <c r="I32" s="494"/>
      <c r="J32" s="494"/>
      <c r="K32" s="30"/>
      <c r="L32" s="64"/>
      <c r="M32" s="65"/>
    </row>
    <row r="33" spans="2:14" ht="20.149999999999999" customHeight="1" thickBot="1" x14ac:dyDescent="0.5">
      <c r="B33" s="32"/>
      <c r="C33" s="33"/>
      <c r="D33" s="488"/>
      <c r="E33" s="488"/>
      <c r="F33" s="488"/>
      <c r="G33" s="33"/>
      <c r="H33" s="57"/>
      <c r="I33" s="459"/>
      <c r="J33" s="459"/>
      <c r="K33" s="34"/>
      <c r="L33" s="35"/>
    </row>
    <row r="34" spans="2:14" ht="20.149999999999999" customHeight="1" x14ac:dyDescent="0.45">
      <c r="B34" s="58"/>
      <c r="C34" s="17"/>
      <c r="G34" s="17"/>
      <c r="H34" s="56"/>
      <c r="I34" s="494"/>
      <c r="J34" s="494"/>
      <c r="K34" s="30"/>
      <c r="L34" s="64"/>
    </row>
    <row r="35" spans="2:14" ht="20.149999999999999" customHeight="1" thickBot="1" x14ac:dyDescent="0.5">
      <c r="B35" s="36"/>
      <c r="L35" s="37"/>
    </row>
    <row r="36" spans="2:14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89" t="s">
        <v>13</v>
      </c>
      <c r="K36" s="490"/>
      <c r="L36" s="38">
        <f>SUM(L17:L33)</f>
        <v>21</v>
      </c>
      <c r="M36" s="63">
        <f>SUM(P18:P24)</f>
        <v>13.680000000000001</v>
      </c>
      <c r="N36" s="133">
        <f>M36/L36</f>
        <v>0.65142857142857147</v>
      </c>
    </row>
    <row r="37" spans="2:14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4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91" t="s">
        <v>19</v>
      </c>
      <c r="K38" s="492"/>
      <c r="L38" s="41">
        <f>L36-L37</f>
        <v>21</v>
      </c>
    </row>
    <row r="39" spans="2:14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1.89</v>
      </c>
    </row>
    <row r="40" spans="2:14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6"/>
      <c r="J40" s="485" t="s">
        <v>21</v>
      </c>
      <c r="K40" s="486"/>
      <c r="L40" s="43">
        <f>L38+L39</f>
        <v>22.89</v>
      </c>
    </row>
    <row r="41" spans="2:14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36"/>
      <c r="L45" s="37"/>
    </row>
    <row r="46" spans="2:14" ht="20.149999999999999" customHeight="1" x14ac:dyDescent="0.45">
      <c r="B46" s="44"/>
      <c r="C46" s="45"/>
      <c r="D46" s="45"/>
      <c r="J46" s="45"/>
      <c r="K46" s="45"/>
      <c r="L46" s="46"/>
    </row>
    <row r="47" spans="2:14" ht="20.149999999999999" customHeight="1" x14ac:dyDescent="0.45">
      <c r="B47" s="36" t="s">
        <v>25</v>
      </c>
      <c r="J47" s="19" t="s">
        <v>26</v>
      </c>
      <c r="L47" s="37"/>
    </row>
    <row r="48" spans="2:14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37">
    <mergeCell ref="J36:K36"/>
    <mergeCell ref="J38:K38"/>
    <mergeCell ref="J40:K40"/>
    <mergeCell ref="I30:J30"/>
    <mergeCell ref="I31:J31"/>
    <mergeCell ref="I32:J32"/>
    <mergeCell ref="D33:F33"/>
    <mergeCell ref="I33:J33"/>
    <mergeCell ref="I34:J34"/>
    <mergeCell ref="I24:J24"/>
    <mergeCell ref="I25:J25"/>
    <mergeCell ref="I26:J26"/>
    <mergeCell ref="I27:J27"/>
    <mergeCell ref="I28:J28"/>
    <mergeCell ref="I29:J29"/>
    <mergeCell ref="I23:J23"/>
    <mergeCell ref="K14:L14"/>
    <mergeCell ref="B15:D15"/>
    <mergeCell ref="D17:F17"/>
    <mergeCell ref="I17:J17"/>
    <mergeCell ref="I18:J18"/>
    <mergeCell ref="I19:J19"/>
    <mergeCell ref="D20:F20"/>
    <mergeCell ref="I20:J20"/>
    <mergeCell ref="D21:F21"/>
    <mergeCell ref="I21:J21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</mergeCells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D9803-44F0-492C-84CF-AF34F0339698}">
  <sheetPr>
    <tabColor theme="7"/>
    <pageSetUpPr fitToPage="1"/>
  </sheetPr>
  <dimension ref="B1:P1048557"/>
  <sheetViews>
    <sheetView topLeftCell="B12" zoomScaleNormal="100" workbookViewId="0">
      <selection activeCell="D18" sqref="D18:F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179687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1" width="12.54296875" style="19" customWidth="1"/>
    <col min="12" max="12" width="13.453125" style="19" bestFit="1" customWidth="1"/>
    <col min="13" max="16384" width="12.54296875" style="19"/>
  </cols>
  <sheetData>
    <row r="1" spans="2:16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6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6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6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6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6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6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6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2281</v>
      </c>
      <c r="J10" s="24" t="s">
        <v>27</v>
      </c>
      <c r="K10" s="464">
        <v>202504149</v>
      </c>
      <c r="L10" s="465"/>
    </row>
    <row r="11" spans="2:16" ht="20.149999999999999" customHeight="1" x14ac:dyDescent="0.45">
      <c r="B11" s="466"/>
      <c r="C11" s="467"/>
      <c r="D11" s="468"/>
      <c r="E11" s="25"/>
      <c r="F11" s="469" t="str">
        <f>VLOOKUP(H10,'Delivery Location'!A$4:N$466,2,0)</f>
        <v>XiaoYan Desserts                                             7 Fraser Street #B3-20,                             Duo Galleria, Singapore 189356</v>
      </c>
      <c r="G11" s="470"/>
      <c r="H11" s="471"/>
      <c r="J11" s="26" t="s">
        <v>9</v>
      </c>
      <c r="K11" s="504">
        <v>45752</v>
      </c>
      <c r="L11" s="505"/>
      <c r="N11" s="532" t="s">
        <v>1075</v>
      </c>
      <c r="O11" s="532"/>
      <c r="P11" s="532"/>
    </row>
    <row r="12" spans="2:16" ht="20.149999999999999" customHeight="1" x14ac:dyDescent="0.45">
      <c r="B12" s="480"/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6" ht="20.149999999999999" customHeight="1" x14ac:dyDescent="0.45">
      <c r="B13" s="480"/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6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6" ht="18" customHeight="1" thickBot="1" x14ac:dyDescent="0.5">
      <c r="B15" s="50"/>
      <c r="C15" s="51"/>
      <c r="D15" s="52"/>
      <c r="E15" s="21"/>
      <c r="F15" s="475"/>
      <c r="G15" s="476"/>
      <c r="H15" s="477"/>
      <c r="J15" s="27" t="s">
        <v>11</v>
      </c>
      <c r="K15" s="119" t="s">
        <v>522</v>
      </c>
      <c r="L15" s="118"/>
    </row>
    <row r="16" spans="2:16" ht="19" thickBot="1" x14ac:dyDescent="0.5">
      <c r="J16" s="17"/>
      <c r="K16" s="19" t="s">
        <v>439</v>
      </c>
    </row>
    <row r="17" spans="2:16" ht="30" customHeight="1" thickBot="1" x14ac:dyDescent="0.5">
      <c r="B17" s="109" t="s">
        <v>2</v>
      </c>
      <c r="C17" s="110" t="s">
        <v>3</v>
      </c>
      <c r="D17" s="531" t="s">
        <v>4</v>
      </c>
      <c r="E17" s="531"/>
      <c r="F17" s="531"/>
      <c r="G17" s="112" t="s">
        <v>384</v>
      </c>
      <c r="H17" s="110" t="s">
        <v>29</v>
      </c>
      <c r="I17" s="531" t="s">
        <v>53</v>
      </c>
      <c r="J17" s="531"/>
      <c r="K17" s="110" t="s">
        <v>5</v>
      </c>
      <c r="L17" s="111" t="s">
        <v>6</v>
      </c>
      <c r="M17" s="28"/>
    </row>
    <row r="18" spans="2:16" ht="20" customHeight="1" x14ac:dyDescent="0.45">
      <c r="B18" s="258"/>
      <c r="C18" s="212" t="s">
        <v>1063</v>
      </c>
      <c r="D18" s="520" t="str">
        <f>VLOOKUP(C18,'Sales Master'!B$3:D$537,2,)</f>
        <v>Chendol CUSTOM MADE 浆咯</v>
      </c>
      <c r="E18" s="520"/>
      <c r="F18" s="520"/>
      <c r="G18" s="76">
        <v>1</v>
      </c>
      <c r="H18" s="183" t="str">
        <f>VLOOKUP(C18,'Sales Master'!$B$3:$F$2420,5,0)</f>
        <v>NW(1.5:0.5) 2kg/ Pkt包</v>
      </c>
      <c r="I18" s="513" t="str">
        <f>VLOOKUP(C18,'Sales Master'!$B$3:$E$2420,4,0)</f>
        <v>DO!</v>
      </c>
      <c r="J18" s="513"/>
      <c r="K18" s="83">
        <f>VLOOKUP(C18,'Sales Master'!$B$3:$O$2489,14,0)</f>
        <v>12</v>
      </c>
      <c r="L18" s="84">
        <f t="shared" ref="L18:L19" si="0">K18*G18</f>
        <v>12</v>
      </c>
      <c r="M18" s="65"/>
    </row>
    <row r="19" spans="2:16" ht="20" customHeight="1" x14ac:dyDescent="0.45">
      <c r="B19" s="258"/>
      <c r="C19" s="212" t="s">
        <v>712</v>
      </c>
      <c r="D19" s="520" t="str">
        <f>VLOOKUP(C19,'Sales Master'!B$3:D$537,2,)</f>
        <v>Bobo ChaCha Cubes 摩摩喳喳</v>
      </c>
      <c r="E19" s="520"/>
      <c r="F19" s="520"/>
      <c r="G19" s="76">
        <v>1</v>
      </c>
      <c r="H19" s="183" t="str">
        <f>VLOOKUP(C19,'Sales Master'!$B$3:$F$2420,5,0)</f>
        <v>800 GM/ Bag包</v>
      </c>
      <c r="I19" s="513" t="str">
        <f>VLOOKUP(C19,'Sales Master'!$B$3:$E$2420,4,0)</f>
        <v>DO!</v>
      </c>
      <c r="J19" s="513"/>
      <c r="K19" s="83">
        <f>VLOOKUP(C19,'Sales Master'!$B$3:$O$2489,14,0)</f>
        <v>7</v>
      </c>
      <c r="L19" s="84">
        <f t="shared" si="0"/>
        <v>7</v>
      </c>
      <c r="M19" s="65"/>
      <c r="N19" s="145"/>
      <c r="O19" s="145"/>
      <c r="P19" s="145"/>
    </row>
    <row r="20" spans="2:16" ht="20" customHeight="1" x14ac:dyDescent="0.45">
      <c r="B20" s="258"/>
      <c r="C20" s="212" t="s">
        <v>2283</v>
      </c>
      <c r="D20" s="446" t="str">
        <f>VLOOKUP(C20,'Sales Master'!B$3:D$537,2,)</f>
        <v>Taro Puree 芋泥</v>
      </c>
      <c r="E20" s="446"/>
      <c r="F20" s="446"/>
      <c r="G20" s="76">
        <v>1</v>
      </c>
      <c r="H20" s="183" t="str">
        <f>VLOOKUP(C20,'Sales Master'!$B$3:$F$2420,5,0)</f>
        <v>800 gm/ Pkt包</v>
      </c>
      <c r="I20" s="513" t="str">
        <f>VLOOKUP(C20,'Sales Master'!$B$3:$E$2420,4,0)</f>
        <v>-</v>
      </c>
      <c r="J20" s="513"/>
      <c r="K20" s="83">
        <f>VLOOKUP(C20,'Sales Master'!$B$3:$O$2489,14,0)</f>
        <v>7</v>
      </c>
      <c r="L20" s="84">
        <f t="shared" ref="L20:L22" si="1">K20*G20</f>
        <v>7</v>
      </c>
      <c r="M20" s="65"/>
      <c r="N20" s="145"/>
      <c r="O20" s="145"/>
      <c r="P20" s="145"/>
    </row>
    <row r="21" spans="2:16" ht="20" customHeight="1" x14ac:dyDescent="0.45">
      <c r="B21" s="258"/>
      <c r="C21" s="212" t="s">
        <v>817</v>
      </c>
      <c r="D21" s="446" t="str">
        <f>VLOOKUP(C21,'Sales Master'!B$3:D$537,2,)</f>
        <v>Small Red Bean 小红豆</v>
      </c>
      <c r="E21" s="446"/>
      <c r="F21" s="446"/>
      <c r="G21" s="76">
        <v>1</v>
      </c>
      <c r="H21" s="183" t="str">
        <f>VLOOKUP(C21,'Sales Master'!$B$3:$F$2420,5,0)</f>
        <v>5 KG</v>
      </c>
      <c r="I21" s="513" t="str">
        <f>VLOOKUP(C21,'Sales Master'!$B$3:$E$2420,4,0)</f>
        <v>-</v>
      </c>
      <c r="J21" s="513"/>
      <c r="K21" s="83">
        <f>VLOOKUP(C21,'Sales Master'!$B$3:$O$2489,14,0)</f>
        <v>19</v>
      </c>
      <c r="L21" s="84">
        <f t="shared" si="1"/>
        <v>19</v>
      </c>
      <c r="M21" s="65"/>
      <c r="N21" s="145"/>
      <c r="O21" s="145"/>
      <c r="P21" s="145"/>
    </row>
    <row r="22" spans="2:16" ht="20" customHeight="1" x14ac:dyDescent="0.45">
      <c r="B22" s="258"/>
      <c r="C22" s="212" t="s">
        <v>820</v>
      </c>
      <c r="D22" s="446" t="str">
        <f>VLOOKUP(C22,'Sales Master'!B$3:D$537,2,)</f>
        <v>Kidney Bean 大红豆 (云南）</v>
      </c>
      <c r="E22" s="446"/>
      <c r="F22" s="446"/>
      <c r="G22" s="76">
        <v>1</v>
      </c>
      <c r="H22" s="183" t="str">
        <f>VLOOKUP(C22,'Sales Master'!$B$3:$F$2420,5,0)</f>
        <v>5 KG</v>
      </c>
      <c r="I22" s="513" t="str">
        <f>VLOOKUP(C22,'Sales Master'!$B$3:$E$2420,4,0)</f>
        <v>-</v>
      </c>
      <c r="J22" s="513"/>
      <c r="K22" s="83">
        <f>VLOOKUP(C22,'Sales Master'!$B$3:$O$2489,14,0)</f>
        <v>22</v>
      </c>
      <c r="L22" s="84">
        <f t="shared" si="1"/>
        <v>22</v>
      </c>
      <c r="M22" s="65"/>
      <c r="N22" s="145"/>
      <c r="O22" s="145"/>
      <c r="P22" s="145"/>
    </row>
    <row r="23" spans="2:16" ht="20" customHeight="1" x14ac:dyDescent="0.45">
      <c r="B23" s="258"/>
      <c r="C23" s="212"/>
      <c r="D23" s="446"/>
      <c r="E23" s="446"/>
      <c r="F23" s="446"/>
      <c r="G23" s="76"/>
      <c r="H23" s="183"/>
      <c r="I23" s="513"/>
      <c r="J23" s="513"/>
      <c r="K23" s="83"/>
      <c r="L23" s="84"/>
      <c r="M23" s="65"/>
      <c r="N23" s="145"/>
      <c r="O23" s="145"/>
      <c r="P23" s="145"/>
    </row>
    <row r="24" spans="2:16" ht="20" customHeight="1" x14ac:dyDescent="0.45">
      <c r="B24" s="258"/>
      <c r="C24" s="212"/>
      <c r="D24" s="446"/>
      <c r="E24" s="446"/>
      <c r="F24" s="446"/>
      <c r="G24" s="76"/>
      <c r="H24" s="183"/>
      <c r="I24" s="513"/>
      <c r="J24" s="513"/>
      <c r="K24" s="83"/>
      <c r="L24" s="84"/>
      <c r="M24" s="65"/>
      <c r="N24" s="145"/>
      <c r="O24" s="145"/>
      <c r="P24" s="145"/>
    </row>
    <row r="25" spans="2:16" ht="20" customHeight="1" x14ac:dyDescent="0.45">
      <c r="B25" s="258"/>
      <c r="C25" s="212"/>
      <c r="D25" s="446"/>
      <c r="E25" s="446"/>
      <c r="F25" s="446"/>
      <c r="G25" s="76"/>
      <c r="H25" s="183"/>
      <c r="I25" s="513"/>
      <c r="J25" s="513"/>
      <c r="K25" s="83"/>
      <c r="L25" s="84"/>
      <c r="M25" s="65"/>
    </row>
    <row r="26" spans="2:16" ht="20" customHeight="1" x14ac:dyDescent="0.45">
      <c r="B26" s="258"/>
      <c r="C26" s="212"/>
      <c r="D26" s="446"/>
      <c r="E26" s="446"/>
      <c r="F26" s="446"/>
      <c r="G26" s="76"/>
      <c r="H26" s="183"/>
      <c r="I26" s="513"/>
      <c r="J26" s="513"/>
      <c r="K26" s="83"/>
      <c r="L26" s="84"/>
      <c r="M26" s="65"/>
    </row>
    <row r="27" spans="2:16" ht="20" customHeight="1" x14ac:dyDescent="0.45">
      <c r="B27" s="258"/>
      <c r="C27" s="212"/>
      <c r="D27" s="446"/>
      <c r="E27" s="446"/>
      <c r="F27" s="446"/>
      <c r="G27" s="76"/>
      <c r="H27" s="183"/>
      <c r="I27" s="513"/>
      <c r="J27" s="513"/>
      <c r="K27" s="83"/>
      <c r="L27" s="84"/>
      <c r="M27" s="65"/>
    </row>
    <row r="28" spans="2:16" ht="20" customHeight="1" x14ac:dyDescent="0.45">
      <c r="B28" s="258"/>
      <c r="C28" s="212"/>
      <c r="D28" s="446"/>
      <c r="E28" s="446"/>
      <c r="F28" s="446"/>
      <c r="G28" s="76"/>
      <c r="H28" s="183"/>
      <c r="I28" s="513"/>
      <c r="J28" s="513"/>
      <c r="K28" s="83"/>
      <c r="L28" s="84"/>
      <c r="M28" s="65"/>
      <c r="N28" s="145"/>
      <c r="O28" s="145"/>
      <c r="P28" s="145"/>
    </row>
    <row r="29" spans="2:16" ht="20" customHeight="1" x14ac:dyDescent="0.45">
      <c r="B29" s="258"/>
      <c r="C29" s="212"/>
      <c r="D29" s="446"/>
      <c r="E29" s="446"/>
      <c r="F29" s="446"/>
      <c r="G29" s="76"/>
      <c r="H29" s="183"/>
      <c r="I29" s="513"/>
      <c r="J29" s="513"/>
      <c r="K29" s="83"/>
      <c r="L29" s="84"/>
      <c r="M29" s="65"/>
      <c r="N29" s="145"/>
      <c r="O29" s="145"/>
      <c r="P29" s="145"/>
    </row>
    <row r="30" spans="2:16" ht="20" customHeight="1" x14ac:dyDescent="0.45">
      <c r="B30" s="258"/>
      <c r="C30" s="212"/>
      <c r="D30" s="446"/>
      <c r="E30" s="446"/>
      <c r="F30" s="446"/>
      <c r="G30" s="76"/>
      <c r="H30" s="183"/>
      <c r="I30" s="513"/>
      <c r="J30" s="513"/>
      <c r="K30" s="83"/>
      <c r="L30" s="84"/>
      <c r="M30" s="65"/>
      <c r="N30" s="145"/>
      <c r="O30" s="145"/>
      <c r="P30" s="145"/>
    </row>
    <row r="31" spans="2:16" ht="20" customHeight="1" x14ac:dyDescent="0.45">
      <c r="B31" s="258"/>
      <c r="C31" s="212"/>
      <c r="D31" s="554"/>
      <c r="E31" s="554"/>
      <c r="F31" s="554"/>
      <c r="G31" s="76"/>
      <c r="H31" s="183"/>
      <c r="I31" s="513"/>
      <c r="J31" s="513"/>
      <c r="K31" s="83"/>
      <c r="L31" s="84"/>
      <c r="M31" s="65"/>
      <c r="N31" s="145"/>
      <c r="O31" s="145"/>
      <c r="P31" s="145"/>
    </row>
    <row r="32" spans="2:16" ht="20" customHeight="1" x14ac:dyDescent="0.45">
      <c r="B32" s="258"/>
      <c r="C32" s="212"/>
      <c r="D32" s="554"/>
      <c r="E32" s="554"/>
      <c r="F32" s="554"/>
      <c r="G32" s="76"/>
      <c r="H32" s="183"/>
      <c r="I32" s="513"/>
      <c r="J32" s="513"/>
      <c r="K32" s="83"/>
      <c r="L32" s="84"/>
      <c r="M32" s="65"/>
      <c r="N32" s="145"/>
      <c r="O32" s="145"/>
      <c r="P32" s="145"/>
    </row>
    <row r="33" spans="2:16" ht="20" customHeight="1" x14ac:dyDescent="0.45">
      <c r="B33" s="258"/>
      <c r="C33" s="212"/>
      <c r="D33" s="65"/>
      <c r="E33" s="65"/>
      <c r="F33" s="65"/>
      <c r="G33" s="76"/>
      <c r="H33" s="183"/>
      <c r="I33" s="209"/>
      <c r="J33" s="209"/>
      <c r="K33" s="83"/>
      <c r="L33" s="84"/>
      <c r="M33" s="65"/>
      <c r="N33" s="145"/>
      <c r="O33" s="145"/>
      <c r="P33" s="145"/>
    </row>
    <row r="34" spans="2:16" ht="20" customHeight="1" x14ac:dyDescent="0.45">
      <c r="B34" s="258"/>
      <c r="C34" s="212"/>
      <c r="D34" s="65"/>
      <c r="E34" s="65"/>
      <c r="F34" s="65"/>
      <c r="G34" s="76"/>
      <c r="H34" s="183"/>
      <c r="I34" s="209"/>
      <c r="J34" s="209"/>
      <c r="K34" s="83"/>
      <c r="L34" s="84"/>
      <c r="M34" s="65"/>
      <c r="N34" s="145"/>
      <c r="O34" s="145"/>
      <c r="P34" s="145"/>
    </row>
    <row r="35" spans="2:16" ht="20" customHeight="1" x14ac:dyDescent="0.45">
      <c r="B35" s="258"/>
      <c r="C35" s="603"/>
      <c r="D35" s="603"/>
      <c r="E35" s="603"/>
      <c r="F35" s="65"/>
      <c r="G35" s="76"/>
      <c r="H35" s="183"/>
      <c r="I35" s="209"/>
      <c r="J35" s="209"/>
      <c r="K35" s="83"/>
      <c r="L35" s="84"/>
      <c r="M35" s="65"/>
      <c r="N35" s="145"/>
      <c r="O35" s="145"/>
      <c r="P35" s="145"/>
    </row>
    <row r="36" spans="2:16" ht="20" customHeight="1" x14ac:dyDescent="0.45">
      <c r="B36" s="258"/>
      <c r="C36" s="212"/>
      <c r="D36" s="446"/>
      <c r="E36" s="446"/>
      <c r="F36" s="446"/>
      <c r="G36" s="76"/>
      <c r="H36" s="183"/>
      <c r="I36" s="513"/>
      <c r="J36" s="513"/>
      <c r="K36" s="83"/>
      <c r="L36" s="84"/>
      <c r="M36" s="65"/>
      <c r="N36" s="145"/>
      <c r="O36" s="145"/>
      <c r="P36" s="145"/>
    </row>
    <row r="37" spans="2:16" ht="20" customHeight="1" x14ac:dyDescent="0.45">
      <c r="B37" s="258"/>
      <c r="C37" s="212"/>
      <c r="D37" s="446"/>
      <c r="E37" s="446"/>
      <c r="F37" s="446"/>
      <c r="G37" s="76"/>
      <c r="H37" s="183"/>
      <c r="I37" s="513"/>
      <c r="J37" s="513"/>
      <c r="K37" s="83"/>
      <c r="L37" s="84"/>
      <c r="M37" s="65"/>
      <c r="N37" s="145"/>
      <c r="O37" s="145"/>
      <c r="P37" s="145"/>
    </row>
    <row r="38" spans="2:16" ht="20" customHeight="1" x14ac:dyDescent="0.45">
      <c r="B38" s="258"/>
      <c r="C38" s="212"/>
      <c r="D38" s="446"/>
      <c r="E38" s="446"/>
      <c r="F38" s="446"/>
      <c r="G38" s="76"/>
      <c r="H38" s="183"/>
      <c r="I38" s="513"/>
      <c r="J38" s="513"/>
      <c r="K38" s="83"/>
      <c r="L38" s="84"/>
      <c r="M38" s="65"/>
      <c r="N38" s="145"/>
      <c r="O38" s="145"/>
      <c r="P38" s="145"/>
    </row>
    <row r="39" spans="2:16" ht="20.149999999999999" customHeight="1" thickBot="1" x14ac:dyDescent="0.5">
      <c r="B39" s="32"/>
      <c r="C39" s="33"/>
      <c r="D39" s="529"/>
      <c r="E39" s="529"/>
      <c r="F39" s="529"/>
      <c r="G39" s="113"/>
      <c r="H39" s="57"/>
      <c r="I39" s="530"/>
      <c r="J39" s="530"/>
      <c r="K39" s="114"/>
      <c r="L39" s="115"/>
    </row>
    <row r="40" spans="2:16" ht="20.149999999999999" customHeight="1" thickBot="1" x14ac:dyDescent="0.5">
      <c r="B40" s="36"/>
      <c r="G40" s="65"/>
      <c r="L40" s="37"/>
    </row>
    <row r="41" spans="2:16" ht="20.149999999999999" customHeight="1" x14ac:dyDescent="0.45">
      <c r="B41" s="10" t="s">
        <v>16</v>
      </c>
      <c r="C41" s="6"/>
      <c r="D41" s="6"/>
      <c r="E41" s="6"/>
      <c r="F41" s="6"/>
      <c r="G41" s="6"/>
      <c r="H41" s="6"/>
      <c r="I41" s="6"/>
      <c r="J41" s="489" t="s">
        <v>13</v>
      </c>
      <c r="K41" s="490"/>
      <c r="L41" s="38">
        <f>SUM(L18:L40)</f>
        <v>67</v>
      </c>
      <c r="M41" s="63">
        <f>SUM(P18:P40)</f>
        <v>0</v>
      </c>
      <c r="N41" s="133">
        <f>M41/L41</f>
        <v>0</v>
      </c>
    </row>
    <row r="42" spans="2:16" ht="20.149999999999999" customHeight="1" x14ac:dyDescent="0.45">
      <c r="B42" s="10" t="s">
        <v>17</v>
      </c>
      <c r="C42" s="6"/>
      <c r="D42" s="6"/>
      <c r="E42" s="6"/>
      <c r="F42" s="6"/>
      <c r="G42" s="6"/>
      <c r="H42" s="6"/>
      <c r="I42" s="6"/>
      <c r="J42" s="39" t="s">
        <v>20</v>
      </c>
      <c r="K42" s="40"/>
      <c r="L42" s="41">
        <f>L41*K42</f>
        <v>0</v>
      </c>
    </row>
    <row r="43" spans="2:16" ht="20.149999999999999" customHeight="1" x14ac:dyDescent="0.45">
      <c r="B43" s="10" t="s">
        <v>18</v>
      </c>
      <c r="C43" s="6"/>
      <c r="D43" s="6"/>
      <c r="E43" s="6"/>
      <c r="F43" s="6"/>
      <c r="G43" s="6"/>
      <c r="H43" s="6"/>
      <c r="I43" s="6"/>
      <c r="J43" s="491" t="s">
        <v>19</v>
      </c>
      <c r="K43" s="492"/>
      <c r="L43" s="41">
        <f>L41-L42</f>
        <v>67</v>
      </c>
    </row>
    <row r="44" spans="2:16" ht="20.149999999999999" customHeight="1" x14ac:dyDescent="0.45">
      <c r="B44" s="10" t="s">
        <v>22</v>
      </c>
      <c r="C44" s="6"/>
      <c r="D44" s="6"/>
      <c r="E44" s="6"/>
      <c r="F44" s="6"/>
      <c r="G44" s="6"/>
      <c r="H44" s="6"/>
      <c r="I44" s="6"/>
      <c r="J44" s="102" t="s">
        <v>15</v>
      </c>
      <c r="K44" s="103">
        <f>'Sales Master'!$B$1</f>
        <v>0.09</v>
      </c>
      <c r="L44" s="42">
        <f>L43*K44</f>
        <v>6.0299999999999994</v>
      </c>
    </row>
    <row r="45" spans="2:16" ht="20.149999999999999" customHeight="1" thickBot="1" x14ac:dyDescent="0.5">
      <c r="B45" s="10" t="s">
        <v>676</v>
      </c>
      <c r="C45" s="6"/>
      <c r="D45" s="6"/>
      <c r="E45" s="6"/>
      <c r="F45" s="6"/>
      <c r="G45" s="6"/>
      <c r="H45" s="6"/>
      <c r="I45" s="6"/>
      <c r="J45" s="485" t="s">
        <v>21</v>
      </c>
      <c r="K45" s="486"/>
      <c r="L45" s="43">
        <f>L43+L44</f>
        <v>73.03</v>
      </c>
    </row>
    <row r="46" spans="2:16" ht="20.149999999999999" customHeight="1" x14ac:dyDescent="0.45">
      <c r="B46" s="10" t="s">
        <v>24</v>
      </c>
      <c r="C46" s="6"/>
      <c r="D46" s="6"/>
      <c r="E46" s="6"/>
      <c r="F46" s="6"/>
      <c r="G46" s="6"/>
      <c r="H46" s="6"/>
      <c r="I46" s="6"/>
      <c r="L46" s="37"/>
    </row>
    <row r="47" spans="2:16" ht="20.149999999999999" customHeight="1" x14ac:dyDescent="0.45">
      <c r="B47" s="144" t="s">
        <v>666</v>
      </c>
      <c r="L47" s="37"/>
    </row>
    <row r="48" spans="2:16" ht="20.149999999999999" customHeight="1" x14ac:dyDescent="0.45">
      <c r="B48" s="144"/>
      <c r="L48" s="37"/>
    </row>
    <row r="49" spans="2:12" ht="20.149999999999999" customHeight="1" x14ac:dyDescent="0.45">
      <c r="B49" s="144"/>
      <c r="L49" s="37"/>
    </row>
    <row r="50" spans="2:12" ht="20.149999999999999" customHeight="1" x14ac:dyDescent="0.45">
      <c r="B50" s="36"/>
      <c r="L50" s="37"/>
    </row>
    <row r="51" spans="2:12" ht="20.149999999999999" customHeight="1" x14ac:dyDescent="0.45">
      <c r="B51" s="44"/>
      <c r="C51" s="45"/>
      <c r="D51" s="45"/>
      <c r="J51" s="45"/>
      <c r="K51" s="45"/>
      <c r="L51" s="46"/>
    </row>
    <row r="52" spans="2:12" ht="20.149999999999999" customHeight="1" x14ac:dyDescent="0.45">
      <c r="B52" s="36" t="s">
        <v>25</v>
      </c>
      <c r="J52" s="19" t="s">
        <v>26</v>
      </c>
      <c r="L52" s="37"/>
    </row>
    <row r="53" spans="2:12" ht="19" thickBot="1" x14ac:dyDescent="0.5">
      <c r="B53" s="47"/>
      <c r="C53" s="48"/>
      <c r="D53" s="48"/>
      <c r="E53" s="48"/>
      <c r="F53" s="48"/>
      <c r="G53" s="48"/>
      <c r="H53" s="48"/>
      <c r="I53" s="48"/>
      <c r="J53" s="48"/>
      <c r="K53" s="48"/>
      <c r="L53" s="49"/>
    </row>
    <row r="54" spans="2:12" ht="20.5" x14ac:dyDescent="0.45">
      <c r="F54" s="202"/>
    </row>
    <row r="1048557" spans="4:6" x14ac:dyDescent="0.45">
      <c r="D1048557" s="446"/>
      <c r="E1048557" s="446"/>
      <c r="F1048557" s="446"/>
    </row>
  </sheetData>
  <mergeCells count="57">
    <mergeCell ref="C35:E35"/>
    <mergeCell ref="J41:K41"/>
    <mergeCell ref="J43:K43"/>
    <mergeCell ref="J45:K45"/>
    <mergeCell ref="D1048557:F1048557"/>
    <mergeCell ref="D37:F37"/>
    <mergeCell ref="I37:J37"/>
    <mergeCell ref="D38:F38"/>
    <mergeCell ref="I38:J38"/>
    <mergeCell ref="D39:F39"/>
    <mergeCell ref="I39:J39"/>
    <mergeCell ref="D26:F26"/>
    <mergeCell ref="I26:J26"/>
    <mergeCell ref="D27:F27"/>
    <mergeCell ref="I27:J27"/>
    <mergeCell ref="D36:F36"/>
    <mergeCell ref="I36:J36"/>
    <mergeCell ref="D28:F28"/>
    <mergeCell ref="I28:J28"/>
    <mergeCell ref="D29:F29"/>
    <mergeCell ref="I29:J29"/>
    <mergeCell ref="D30:F30"/>
    <mergeCell ref="I30:J30"/>
    <mergeCell ref="D31:F31"/>
    <mergeCell ref="I31:J31"/>
    <mergeCell ref="D32:F32"/>
    <mergeCell ref="I32:J32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4:D14"/>
    <mergeCell ref="K14:L14"/>
    <mergeCell ref="N11:P11"/>
    <mergeCell ref="B12:D12"/>
    <mergeCell ref="K12:L12"/>
    <mergeCell ref="B13:D13"/>
    <mergeCell ref="K13:L13"/>
  </mergeCells>
  <conditionalFormatting sqref="C18">
    <cfRule type="duplicateValues" dxfId="11" priority="5"/>
  </conditionalFormatting>
  <conditionalFormatting sqref="C35">
    <cfRule type="duplicateValues" dxfId="10" priority="1"/>
  </conditionalFormatting>
  <conditionalFormatting sqref="C39">
    <cfRule type="duplicateValues" dxfId="9" priority="3"/>
    <cfRule type="duplicateValues" dxfId="8" priority="4"/>
  </conditionalFormatting>
  <conditionalFormatting sqref="N11">
    <cfRule type="duplicateValues" dxfId="7" priority="2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0C00C-57AB-4BF1-85C1-A6B3A47F04D9}">
  <sheetPr codeName="Sheet17">
    <tabColor rgb="FF996600"/>
    <pageSetUpPr fitToPage="1"/>
  </sheetPr>
  <dimension ref="B1:V44"/>
  <sheetViews>
    <sheetView topLeftCell="A26" workbookViewId="0">
      <selection activeCell="K35" sqref="K3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/>
      <c r="J10" s="24" t="s">
        <v>27</v>
      </c>
      <c r="K10" s="464" t="s">
        <v>1086</v>
      </c>
      <c r="L10" s="465"/>
    </row>
    <row r="11" spans="2:12" ht="20.149999999999999" customHeight="1" x14ac:dyDescent="0.45">
      <c r="B11" s="466" t="s">
        <v>1368</v>
      </c>
      <c r="C11" s="467"/>
      <c r="D11" s="468"/>
      <c r="E11" s="25"/>
      <c r="F11" s="469" t="s">
        <v>1369</v>
      </c>
      <c r="G11" s="470"/>
      <c r="H11" s="471"/>
      <c r="J11" s="26" t="s">
        <v>9</v>
      </c>
      <c r="K11" s="478">
        <v>44853</v>
      </c>
      <c r="L11" s="479"/>
    </row>
    <row r="12" spans="2:12" ht="20.149999999999999" customHeight="1" x14ac:dyDescent="0.45">
      <c r="B12" s="480" t="s">
        <v>1367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/>
      <c r="C13" s="453"/>
      <c r="D13" s="481"/>
      <c r="E13" s="25"/>
      <c r="F13" s="472"/>
      <c r="G13" s="473"/>
      <c r="H13" s="474"/>
      <c r="J13" s="26" t="s">
        <v>10</v>
      </c>
      <c r="K13" s="482" t="s">
        <v>34</v>
      </c>
      <c r="L13" s="483"/>
    </row>
    <row r="14" spans="2:12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/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28"/>
      <c r="O17" s="28"/>
    </row>
    <row r="18" spans="2:22" ht="20.149999999999999" customHeight="1" x14ac:dyDescent="0.45">
      <c r="B18" s="58"/>
      <c r="C18" s="17"/>
      <c r="D18" s="487" t="s">
        <v>1370</v>
      </c>
      <c r="E18" s="487"/>
      <c r="F18" s="487"/>
      <c r="G18" s="76">
        <v>5</v>
      </c>
      <c r="H18" s="82" t="s">
        <v>1371</v>
      </c>
      <c r="I18" s="447" t="s">
        <v>34</v>
      </c>
      <c r="J18" s="447"/>
      <c r="K18" s="83" t="s">
        <v>1086</v>
      </c>
      <c r="L18" s="96" t="s">
        <v>34</v>
      </c>
      <c r="N18" s="93" t="s">
        <v>300</v>
      </c>
      <c r="O18" s="93" t="s">
        <v>303</v>
      </c>
      <c r="P18" s="93"/>
      <c r="Q18" s="93"/>
      <c r="R18" s="93">
        <v>1</v>
      </c>
      <c r="S18" s="93" t="s">
        <v>200</v>
      </c>
      <c r="T18" s="93" t="s">
        <v>429</v>
      </c>
      <c r="U18" s="93"/>
      <c r="V18" s="93">
        <v>32</v>
      </c>
    </row>
    <row r="19" spans="2:22" ht="20.149999999999999" customHeight="1" x14ac:dyDescent="0.45">
      <c r="B19" s="58"/>
      <c r="C19" s="17"/>
      <c r="D19" s="487" t="s">
        <v>1370</v>
      </c>
      <c r="E19" s="487"/>
      <c r="F19" s="487"/>
      <c r="G19" s="76">
        <v>1</v>
      </c>
      <c r="H19" s="82" t="s">
        <v>1372</v>
      </c>
      <c r="I19" s="447" t="s">
        <v>34</v>
      </c>
      <c r="J19" s="447"/>
      <c r="K19" s="83" t="s">
        <v>1086</v>
      </c>
      <c r="L19" s="96" t="s">
        <v>34</v>
      </c>
      <c r="N19" s="93"/>
      <c r="O19" s="93"/>
      <c r="P19" s="93"/>
      <c r="Q19" s="93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87" t="s">
        <v>1373</v>
      </c>
      <c r="E20" s="487"/>
      <c r="F20" s="487"/>
      <c r="G20" s="76">
        <v>1</v>
      </c>
      <c r="H20" s="56" t="s">
        <v>1378</v>
      </c>
      <c r="I20" s="447" t="s">
        <v>34</v>
      </c>
      <c r="J20" s="447"/>
      <c r="K20" s="83" t="s">
        <v>1086</v>
      </c>
      <c r="L20" s="96" t="s">
        <v>34</v>
      </c>
    </row>
    <row r="21" spans="2:22" ht="20.149999999999999" customHeight="1" x14ac:dyDescent="0.45">
      <c r="B21" s="29"/>
      <c r="C21" s="17"/>
      <c r="D21" s="487" t="s">
        <v>1374</v>
      </c>
      <c r="E21" s="487"/>
      <c r="F21" s="487"/>
      <c r="G21" s="76">
        <v>1</v>
      </c>
      <c r="H21" s="56" t="s">
        <v>1378</v>
      </c>
      <c r="I21" s="447" t="s">
        <v>34</v>
      </c>
      <c r="J21" s="447"/>
      <c r="K21" s="83" t="s">
        <v>1086</v>
      </c>
      <c r="L21" s="96" t="s">
        <v>34</v>
      </c>
    </row>
    <row r="22" spans="2:22" ht="20.149999999999999" customHeight="1" x14ac:dyDescent="0.45">
      <c r="B22" s="29"/>
      <c r="C22" s="17"/>
      <c r="D22" s="487" t="s">
        <v>1375</v>
      </c>
      <c r="E22" s="487"/>
      <c r="F22" s="487"/>
      <c r="G22" s="76">
        <v>1</v>
      </c>
      <c r="H22" s="56" t="s">
        <v>1378</v>
      </c>
      <c r="I22" s="447" t="s">
        <v>34</v>
      </c>
      <c r="J22" s="447"/>
      <c r="K22" s="83" t="s">
        <v>1086</v>
      </c>
      <c r="L22" s="96" t="s">
        <v>34</v>
      </c>
    </row>
    <row r="23" spans="2:22" ht="20.149999999999999" customHeight="1" x14ac:dyDescent="0.45">
      <c r="B23" s="29"/>
      <c r="C23" s="17"/>
      <c r="D23" s="487" t="s">
        <v>1376</v>
      </c>
      <c r="E23" s="487"/>
      <c r="F23" s="487"/>
      <c r="G23" s="76">
        <v>1</v>
      </c>
      <c r="H23" s="56" t="s">
        <v>1276</v>
      </c>
      <c r="I23" s="447" t="s">
        <v>34</v>
      </c>
      <c r="J23" s="447"/>
      <c r="K23" s="83" t="s">
        <v>1086</v>
      </c>
      <c r="L23" s="96" t="s">
        <v>34</v>
      </c>
    </row>
    <row r="24" spans="2:22" ht="20.149999999999999" customHeight="1" x14ac:dyDescent="0.45">
      <c r="B24" s="29"/>
      <c r="C24" s="17"/>
      <c r="D24" s="487" t="s">
        <v>1376</v>
      </c>
      <c r="E24" s="487"/>
      <c r="F24" s="487"/>
      <c r="G24" s="76">
        <v>1</v>
      </c>
      <c r="H24" s="56" t="s">
        <v>1378</v>
      </c>
      <c r="I24" s="447" t="s">
        <v>34</v>
      </c>
      <c r="J24" s="447"/>
      <c r="K24" s="83" t="s">
        <v>1086</v>
      </c>
      <c r="L24" s="96" t="s">
        <v>34</v>
      </c>
    </row>
    <row r="25" spans="2:22" ht="20.149999999999999" customHeight="1" x14ac:dyDescent="0.45">
      <c r="B25" s="29"/>
      <c r="C25" s="17"/>
      <c r="D25" s="487" t="s">
        <v>1377</v>
      </c>
      <c r="E25" s="487"/>
      <c r="F25" s="487"/>
      <c r="G25" s="76">
        <v>1</v>
      </c>
      <c r="H25" s="56" t="s">
        <v>1378</v>
      </c>
      <c r="I25" s="447" t="s">
        <v>34</v>
      </c>
      <c r="J25" s="447"/>
      <c r="K25" s="83" t="s">
        <v>1086</v>
      </c>
      <c r="L25" s="96" t="s">
        <v>34</v>
      </c>
    </row>
    <row r="26" spans="2:22" ht="20.149999999999999" customHeight="1" x14ac:dyDescent="0.45">
      <c r="B26" s="29"/>
      <c r="C26" s="17"/>
      <c r="D26" s="487"/>
      <c r="E26" s="487"/>
      <c r="F26" s="487"/>
      <c r="G26" s="76"/>
      <c r="H26" s="56"/>
      <c r="I26" s="494"/>
      <c r="J26" s="494"/>
      <c r="K26" s="30"/>
      <c r="L26" s="31"/>
    </row>
    <row r="27" spans="2:22" ht="20.149999999999999" customHeight="1" x14ac:dyDescent="0.45">
      <c r="B27" s="29"/>
      <c r="C27" s="17"/>
      <c r="D27" s="487"/>
      <c r="E27" s="487"/>
      <c r="F27" s="487"/>
      <c r="G27" s="76"/>
      <c r="H27" s="56"/>
      <c r="I27" s="494"/>
      <c r="J27" s="494"/>
      <c r="K27" s="30"/>
      <c r="L27" s="31"/>
    </row>
    <row r="28" spans="2:22" ht="20.149999999999999" customHeight="1" x14ac:dyDescent="0.45">
      <c r="B28" s="29"/>
      <c r="C28" s="17"/>
      <c r="D28" s="487"/>
      <c r="E28" s="487"/>
      <c r="F28" s="487"/>
      <c r="G28" s="76"/>
      <c r="H28" s="56"/>
      <c r="I28" s="494"/>
      <c r="J28" s="494"/>
      <c r="K28" s="30"/>
      <c r="L28" s="31"/>
    </row>
    <row r="29" spans="2:22" ht="20.149999999999999" customHeight="1" x14ac:dyDescent="0.45">
      <c r="B29" s="29"/>
      <c r="C29" s="17"/>
      <c r="G29" s="76"/>
      <c r="H29" s="56"/>
      <c r="I29" s="56"/>
      <c r="J29" s="56"/>
      <c r="K29" s="30"/>
      <c r="L29" s="31"/>
    </row>
    <row r="30" spans="2:22" ht="20.149999999999999" customHeight="1" x14ac:dyDescent="0.45">
      <c r="B30" s="104"/>
      <c r="C30" s="105"/>
      <c r="D30" s="514"/>
      <c r="E30" s="514"/>
      <c r="F30" s="514"/>
      <c r="G30" s="105"/>
      <c r="H30" s="105"/>
      <c r="I30" s="124"/>
      <c r="J30" s="124"/>
      <c r="K30" s="108"/>
      <c r="L30" s="12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89" t="s">
        <v>13</v>
      </c>
      <c r="K32" s="490"/>
      <c r="L32" s="38">
        <f>SUM(L18:L31)</f>
        <v>0</v>
      </c>
      <c r="N32" s="63" t="s">
        <v>439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91" t="s">
        <v>19</v>
      </c>
      <c r="K34" s="492"/>
      <c r="L34" s="41">
        <f>L32-L33</f>
        <v>0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0</v>
      </c>
    </row>
    <row r="36" spans="2:12" ht="20.149999999999999" customHeight="1" thickBot="1" x14ac:dyDescent="0.5">
      <c r="B36" s="10" t="s">
        <v>676</v>
      </c>
      <c r="C36" s="6"/>
      <c r="D36" s="6"/>
      <c r="E36" s="6"/>
      <c r="F36" s="6"/>
      <c r="G36" s="6"/>
      <c r="H36" s="6"/>
      <c r="I36" s="6"/>
      <c r="J36" s="485" t="s">
        <v>21</v>
      </c>
      <c r="K36" s="486"/>
      <c r="L36" s="43">
        <f>L34+L35</f>
        <v>0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666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1">
    <mergeCell ref="D24:F24"/>
    <mergeCell ref="I24:J24"/>
    <mergeCell ref="J36:K36"/>
    <mergeCell ref="D25:F25"/>
    <mergeCell ref="I25:J25"/>
    <mergeCell ref="D26:F26"/>
    <mergeCell ref="I26:J26"/>
    <mergeCell ref="D27:F27"/>
    <mergeCell ref="I27:J27"/>
    <mergeCell ref="D28:F28"/>
    <mergeCell ref="I28:J28"/>
    <mergeCell ref="D30:F30"/>
    <mergeCell ref="J32:K32"/>
    <mergeCell ref="J34:K34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6" priority="3"/>
  </conditionalFormatting>
  <conditionalFormatting sqref="C19">
    <cfRule type="duplicateValues" dxfId="5" priority="6"/>
  </conditionalFormatting>
  <conditionalFormatting sqref="C20">
    <cfRule type="duplicateValues" dxfId="4" priority="4"/>
  </conditionalFormatting>
  <conditionalFormatting sqref="C21">
    <cfRule type="duplicateValues" dxfId="3" priority="5"/>
  </conditionalFormatting>
  <conditionalFormatting sqref="C22">
    <cfRule type="duplicateValues" dxfId="2" priority="2"/>
  </conditionalFormatting>
  <conditionalFormatting sqref="C23">
    <cfRule type="duplicateValues" dxfId="1" priority="1"/>
  </conditionalFormatting>
  <conditionalFormatting sqref="C25">
    <cfRule type="duplicateValues" dxfId="0" priority="7"/>
  </conditionalFormatting>
  <pageMargins left="0.70866141732283505" right="0.31496062992126" top="0.59055118110236204" bottom="0" header="0.31496062992126" footer="0.31496062992126"/>
  <pageSetup paperSize="9" scale="76" orientation="portrait" r:id="rId1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4F9AE-15CC-4F70-95DF-32410ABEF3EB}">
  <sheetPr codeName="Sheet126">
    <tabColor rgb="FFFF0000"/>
    <pageSetUpPr fitToPage="1"/>
  </sheetPr>
  <dimension ref="B1:O42"/>
  <sheetViews>
    <sheetView topLeftCell="A28" workbookViewId="0">
      <selection activeCell="K33" sqref="K3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23.7265625" style="19" customWidth="1"/>
    <col min="7" max="7" width="8.54296875" style="19" customWidth="1"/>
    <col min="8" max="8" width="15.54296875" style="19" customWidth="1"/>
    <col min="9" max="9" width="1.26953125" style="19" customWidth="1"/>
    <col min="10" max="10" width="13.17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121</v>
      </c>
      <c r="J10" s="24" t="s">
        <v>27</v>
      </c>
      <c r="K10" s="464">
        <v>202201429</v>
      </c>
      <c r="L10" s="465"/>
    </row>
    <row r="11" spans="2:12" ht="20.149999999999999" customHeight="1" x14ac:dyDescent="0.45">
      <c r="B11" s="466" t="s">
        <v>343</v>
      </c>
      <c r="C11" s="467"/>
      <c r="D11" s="468"/>
      <c r="E11" s="25"/>
      <c r="F11" s="469" t="str">
        <f>VLOOKUP(H10,'Delivery Location'!A$4:N$466,2,0)</f>
        <v>Tea Tree Café Pte Ltd                               Block 4012, Ang Mo Kio Ave 10         #01-05 TechPlace 1 Singapore 569628</v>
      </c>
      <c r="G11" s="470"/>
      <c r="H11" s="471"/>
      <c r="J11" s="26" t="s">
        <v>9</v>
      </c>
      <c r="K11" s="500" t="s">
        <v>1205</v>
      </c>
      <c r="L11" s="483"/>
    </row>
    <row r="12" spans="2:12" ht="20.149999999999999" customHeight="1" x14ac:dyDescent="0.45">
      <c r="B12" s="480" t="s">
        <v>344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1206</v>
      </c>
      <c r="L12" s="483"/>
    </row>
    <row r="13" spans="2:12" ht="20.149999999999999" customHeight="1" x14ac:dyDescent="0.45">
      <c r="B13" s="480" t="s">
        <v>345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695</v>
      </c>
      <c r="L13" s="483"/>
    </row>
    <row r="14" spans="2:12" ht="20.149999999999999" customHeight="1" x14ac:dyDescent="0.45">
      <c r="B14" s="480" t="s">
        <v>346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08" t="s">
        <v>364</v>
      </c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712</v>
      </c>
      <c r="D18" s="487" t="str">
        <f>VLOOKUP(C18,'Sales Master'!B$3:D$537,2,)</f>
        <v>Bobo ChaCha Cubes 摩摩喳喳</v>
      </c>
      <c r="E18" s="487"/>
      <c r="F18" s="487"/>
      <c r="G18" s="17">
        <v>16</v>
      </c>
      <c r="H18" s="186" t="str">
        <f>VLOOKUP(C18,'Sales Master'!$B$3:$F$2488,5,0)</f>
        <v>800 GM/ Bag包</v>
      </c>
      <c r="I18" s="484" t="str">
        <f>VLOOKUP(C18,'Sales Master'!$B$3:$E$2488,4,0)</f>
        <v>DO!</v>
      </c>
      <c r="J18" s="484"/>
      <c r="K18" s="80">
        <f>VLOOKUP(C18,'Sales Master'!B$3:Y$537,24,0)</f>
        <v>6.5</v>
      </c>
      <c r="L18" s="64">
        <f>K18*G18</f>
        <v>104</v>
      </c>
      <c r="M18" s="81"/>
    </row>
    <row r="19" spans="2:15" ht="20.149999999999999" customHeight="1" x14ac:dyDescent="0.45">
      <c r="B19" s="29"/>
      <c r="C19" s="17"/>
      <c r="D19" s="487"/>
      <c r="E19" s="487"/>
      <c r="F19" s="487"/>
      <c r="G19" s="17"/>
      <c r="H19" s="56"/>
      <c r="I19" s="494"/>
      <c r="J19" s="494"/>
      <c r="K19" s="80"/>
      <c r="L19" s="64"/>
      <c r="M19" s="65"/>
    </row>
    <row r="20" spans="2:15" ht="20.149999999999999" customHeight="1" x14ac:dyDescent="0.45">
      <c r="B20" s="29"/>
      <c r="C20" s="17"/>
      <c r="D20" s="487"/>
      <c r="E20" s="487"/>
      <c r="F20" s="487"/>
      <c r="G20" s="17"/>
      <c r="H20" s="56"/>
      <c r="I20" s="494"/>
      <c r="J20" s="494"/>
      <c r="K20" s="80"/>
      <c r="L20" s="64"/>
      <c r="M20" s="65"/>
    </row>
    <row r="21" spans="2:15" ht="20.149999999999999" customHeight="1" x14ac:dyDescent="0.45">
      <c r="B21" s="29"/>
      <c r="C21" s="17"/>
      <c r="G21" s="17"/>
      <c r="H21" s="56"/>
      <c r="I21" s="17"/>
      <c r="J21" s="17"/>
      <c r="K21" s="80"/>
      <c r="L21" s="64"/>
      <c r="M21" s="65"/>
    </row>
    <row r="22" spans="2:15" ht="20.149999999999999" customHeight="1" x14ac:dyDescent="0.45">
      <c r="B22" s="29"/>
      <c r="C22" s="17"/>
      <c r="G22" s="17"/>
      <c r="H22" s="56"/>
      <c r="I22" s="17"/>
      <c r="J22" s="17"/>
      <c r="K22" s="80"/>
      <c r="L22" s="64"/>
      <c r="M22" s="65"/>
    </row>
    <row r="23" spans="2:15" ht="20.149999999999999" customHeight="1" x14ac:dyDescent="0.45">
      <c r="B23" s="29"/>
      <c r="C23" s="17"/>
      <c r="G23" s="17"/>
      <c r="H23" s="56"/>
      <c r="I23" s="17"/>
      <c r="J23" s="17"/>
      <c r="K23" s="80"/>
      <c r="L23" s="64"/>
      <c r="M23" s="65"/>
    </row>
    <row r="24" spans="2:15" ht="20.149999999999999" customHeight="1" x14ac:dyDescent="0.45">
      <c r="B24" s="29"/>
      <c r="C24" s="17"/>
      <c r="G24" s="17"/>
      <c r="H24" s="56"/>
      <c r="I24" s="17"/>
      <c r="J24" s="17"/>
      <c r="K24" s="80"/>
      <c r="L24" s="64"/>
      <c r="M24" s="65"/>
    </row>
    <row r="25" spans="2:15" ht="20.149999999999999" customHeight="1" x14ac:dyDescent="0.45">
      <c r="B25" s="29"/>
      <c r="C25" s="17"/>
      <c r="D25" s="487"/>
      <c r="E25" s="487"/>
      <c r="F25" s="487"/>
      <c r="G25" s="17"/>
      <c r="H25" s="56"/>
      <c r="I25" s="458"/>
      <c r="J25" s="458"/>
      <c r="K25" s="80"/>
      <c r="L25" s="64"/>
      <c r="M25" s="65"/>
    </row>
    <row r="26" spans="2:15" ht="20.149999999999999" customHeight="1" x14ac:dyDescent="0.45">
      <c r="B26" s="29"/>
      <c r="C26" s="604" t="s">
        <v>1207</v>
      </c>
      <c r="D26" s="604"/>
      <c r="E26" s="604"/>
      <c r="F26" s="604"/>
      <c r="G26" s="604"/>
      <c r="H26" s="604"/>
      <c r="I26" s="604"/>
      <c r="J26" s="604"/>
      <c r="K26" s="604"/>
      <c r="L26" s="64"/>
      <c r="M26" s="65"/>
    </row>
    <row r="27" spans="2:15" ht="20.149999999999999" customHeight="1" x14ac:dyDescent="0.45">
      <c r="B27" s="29"/>
      <c r="C27" s="604" t="s">
        <v>1208</v>
      </c>
      <c r="D27" s="604"/>
      <c r="E27" s="604"/>
      <c r="F27" s="604"/>
      <c r="G27" s="604"/>
      <c r="H27" s="604"/>
      <c r="I27" s="604"/>
      <c r="J27" s="604"/>
      <c r="K27" s="604"/>
      <c r="L27" s="64"/>
    </row>
    <row r="28" spans="2:15" ht="20.149999999999999" customHeight="1" thickBot="1" x14ac:dyDescent="0.5">
      <c r="B28" s="32"/>
      <c r="C28" s="33"/>
      <c r="D28" s="488"/>
      <c r="E28" s="488"/>
      <c r="F28" s="488"/>
      <c r="G28" s="33"/>
      <c r="H28" s="57"/>
      <c r="I28" s="459"/>
      <c r="J28" s="459"/>
      <c r="K28" s="34"/>
      <c r="L28" s="35"/>
    </row>
    <row r="29" spans="2:15" ht="20.149999999999999" customHeight="1" thickBot="1" x14ac:dyDescent="0.5">
      <c r="B29" s="36"/>
      <c r="L29" s="37"/>
    </row>
    <row r="30" spans="2:15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SUM(L17:L27)</f>
        <v>104</v>
      </c>
      <c r="M30" s="63">
        <f>166+26</f>
        <v>192</v>
      </c>
    </row>
    <row r="31" spans="2:15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/>
    </row>
    <row r="32" spans="2:15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104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9.36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113.36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0">
    <mergeCell ref="K13:L13"/>
    <mergeCell ref="B14:D14"/>
    <mergeCell ref="K14:L14"/>
    <mergeCell ref="B15:D15"/>
    <mergeCell ref="K15:L15"/>
    <mergeCell ref="J34:K34"/>
    <mergeCell ref="D25:F25"/>
    <mergeCell ref="I25:J25"/>
    <mergeCell ref="D28:F28"/>
    <mergeCell ref="I28:J28"/>
    <mergeCell ref="J30:K30"/>
    <mergeCell ref="J32:K32"/>
    <mergeCell ref="C26:K26"/>
    <mergeCell ref="C27:K27"/>
    <mergeCell ref="B1:L8"/>
    <mergeCell ref="D19:F19"/>
    <mergeCell ref="I19:J19"/>
    <mergeCell ref="D20:F20"/>
    <mergeCell ref="I20:J20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</mergeCells>
  <pageMargins left="0.70866141732283505" right="0.31496062992126" top="0.59055118110236204" bottom="0" header="0.31496062992126" footer="0.31496062992126"/>
  <pageSetup scale="78" orientation="portrait" r:id="rId1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160BF-54F1-4EB3-BBDD-E1D047F14948}">
  <sheetPr codeName="Sheet188">
    <tabColor rgb="FFFFFF00"/>
    <pageSetUpPr fitToPage="1"/>
  </sheetPr>
  <dimension ref="B5:T47"/>
  <sheetViews>
    <sheetView topLeftCell="B28" workbookViewId="0">
      <selection activeCell="J37" sqref="J37:K3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5" spans="2:20" ht="19" thickBot="1" x14ac:dyDescent="0.5">
      <c r="B5" s="18"/>
    </row>
    <row r="6" spans="2:20" ht="18" customHeight="1" thickTop="1" thickBot="1" x14ac:dyDescent="0.5">
      <c r="B6" s="20" t="s">
        <v>7</v>
      </c>
      <c r="C6" s="20"/>
      <c r="D6" s="21"/>
      <c r="E6" s="21"/>
      <c r="F6" s="22" t="s">
        <v>8</v>
      </c>
      <c r="G6" s="23"/>
      <c r="H6" s="23" t="s">
        <v>116</v>
      </c>
      <c r="J6" s="24" t="s">
        <v>27</v>
      </c>
      <c r="K6" s="464">
        <v>201910001</v>
      </c>
      <c r="L6" s="465"/>
    </row>
    <row r="7" spans="2:20" ht="20.149999999999999" customHeight="1" x14ac:dyDescent="0.45">
      <c r="B7" s="466" t="s">
        <v>566</v>
      </c>
      <c r="C7" s="467"/>
      <c r="D7" s="468"/>
      <c r="E7" s="25"/>
      <c r="F7" s="469" t="s">
        <v>567</v>
      </c>
      <c r="G7" s="470"/>
      <c r="H7" s="471"/>
      <c r="J7" s="26" t="s">
        <v>9</v>
      </c>
      <c r="K7" s="482" t="s">
        <v>565</v>
      </c>
      <c r="L7" s="483"/>
    </row>
    <row r="8" spans="2:20" ht="20.149999999999999" customHeight="1" x14ac:dyDescent="0.45">
      <c r="B8" s="480"/>
      <c r="C8" s="453"/>
      <c r="D8" s="481"/>
      <c r="E8" s="25"/>
      <c r="F8" s="472"/>
      <c r="G8" s="473"/>
      <c r="H8" s="474"/>
      <c r="J8" s="26" t="s">
        <v>127</v>
      </c>
      <c r="K8" s="482" t="s">
        <v>34</v>
      </c>
      <c r="L8" s="483"/>
    </row>
    <row r="9" spans="2:20" ht="20.149999999999999" customHeight="1" x14ac:dyDescent="0.45">
      <c r="B9" s="480"/>
      <c r="C9" s="453"/>
      <c r="D9" s="481"/>
      <c r="E9" s="25"/>
      <c r="F9" s="472"/>
      <c r="G9" s="473"/>
      <c r="H9" s="474"/>
      <c r="J9" s="26" t="s">
        <v>10</v>
      </c>
      <c r="K9" s="482" t="s">
        <v>12</v>
      </c>
      <c r="L9" s="483"/>
    </row>
    <row r="10" spans="2:20" ht="20.149999999999999" customHeight="1" x14ac:dyDescent="0.45">
      <c r="B10" s="480"/>
      <c r="C10" s="453"/>
      <c r="D10" s="481"/>
      <c r="E10" s="25"/>
      <c r="F10" s="472"/>
      <c r="G10" s="473"/>
      <c r="H10" s="474"/>
      <c r="J10" s="26" t="s">
        <v>28</v>
      </c>
      <c r="K10" s="482" t="s">
        <v>564</v>
      </c>
      <c r="L10" s="483"/>
    </row>
    <row r="11" spans="2:20" ht="18" customHeight="1" thickBot="1" x14ac:dyDescent="0.5">
      <c r="B11" s="508"/>
      <c r="C11" s="509"/>
      <c r="D11" s="510"/>
      <c r="E11" s="21"/>
      <c r="F11" s="475"/>
      <c r="G11" s="476"/>
      <c r="H11" s="477"/>
      <c r="J11" s="27" t="s">
        <v>11</v>
      </c>
      <c r="K11" s="495" t="s">
        <v>34</v>
      </c>
      <c r="L11" s="496"/>
    </row>
    <row r="12" spans="2:20" ht="19" thickBot="1" x14ac:dyDescent="0.5">
      <c r="J12" s="17"/>
      <c r="L12" s="19" t="s">
        <v>439</v>
      </c>
    </row>
    <row r="13" spans="2:20" ht="30" customHeight="1" thickBot="1" x14ac:dyDescent="0.5">
      <c r="B13" s="7" t="s">
        <v>2</v>
      </c>
      <c r="C13" s="8" t="s">
        <v>3</v>
      </c>
      <c r="D13" s="460" t="s">
        <v>4</v>
      </c>
      <c r="E13" s="461"/>
      <c r="F13" s="462"/>
      <c r="G13" s="15" t="s">
        <v>384</v>
      </c>
      <c r="H13" s="8" t="s">
        <v>29</v>
      </c>
      <c r="I13" s="460" t="s">
        <v>53</v>
      </c>
      <c r="J13" s="462"/>
      <c r="K13" s="8" t="s">
        <v>5</v>
      </c>
      <c r="L13" s="9" t="s">
        <v>6</v>
      </c>
      <c r="M13" s="28"/>
      <c r="N13" s="28" t="s">
        <v>509</v>
      </c>
      <c r="O13" s="28"/>
    </row>
    <row r="14" spans="2:20" ht="20.149999999999999" customHeight="1" x14ac:dyDescent="0.45">
      <c r="B14" s="29"/>
      <c r="C14" s="17" t="s">
        <v>80</v>
      </c>
      <c r="D14" s="487" t="s">
        <v>561</v>
      </c>
      <c r="E14" s="487"/>
      <c r="F14" s="487"/>
      <c r="G14" s="17">
        <v>200</v>
      </c>
      <c r="H14" s="17" t="s">
        <v>559</v>
      </c>
      <c r="I14" s="605" t="s">
        <v>560</v>
      </c>
      <c r="J14" s="605"/>
      <c r="K14" s="30">
        <v>3.5</v>
      </c>
      <c r="L14" s="31">
        <f>G14*K14</f>
        <v>700</v>
      </c>
      <c r="M14" s="65"/>
      <c r="N14" s="93" t="s">
        <v>293</v>
      </c>
      <c r="O14" s="19" t="s">
        <v>239</v>
      </c>
      <c r="R14" s="19">
        <v>3</v>
      </c>
      <c r="S14" s="19" t="s">
        <v>34</v>
      </c>
      <c r="T14" s="19" t="s">
        <v>32</v>
      </c>
    </row>
    <row r="15" spans="2:20" ht="20.149999999999999" customHeight="1" x14ac:dyDescent="0.45">
      <c r="B15" s="29"/>
      <c r="C15" s="17" t="s">
        <v>133</v>
      </c>
      <c r="D15" s="487" t="s">
        <v>562</v>
      </c>
      <c r="E15" s="487"/>
      <c r="F15" s="487"/>
      <c r="G15" s="17">
        <v>4684</v>
      </c>
      <c r="H15" s="17" t="s">
        <v>563</v>
      </c>
      <c r="I15" s="458" t="s">
        <v>560</v>
      </c>
      <c r="J15" s="458"/>
      <c r="K15" s="30">
        <v>1.9</v>
      </c>
      <c r="L15" s="31">
        <f>G15*K15</f>
        <v>8899.6</v>
      </c>
      <c r="M15" s="65"/>
      <c r="N15" s="19" t="s">
        <v>389</v>
      </c>
      <c r="O15" s="19" t="s">
        <v>215</v>
      </c>
      <c r="R15" s="19">
        <v>3</v>
      </c>
      <c r="S15" s="19" t="s">
        <v>34</v>
      </c>
      <c r="T15" s="19" t="s">
        <v>58</v>
      </c>
    </row>
    <row r="16" spans="2:20" ht="20.149999999999999" customHeight="1" x14ac:dyDescent="0.45">
      <c r="B16" s="29"/>
      <c r="C16" s="17"/>
      <c r="D16" s="487"/>
      <c r="E16" s="487"/>
      <c r="F16" s="487"/>
      <c r="G16" s="76"/>
      <c r="H16" s="56"/>
      <c r="I16" s="494"/>
      <c r="J16" s="494"/>
      <c r="K16" s="80"/>
      <c r="L16" s="64"/>
      <c r="M16" s="65"/>
      <c r="N16" s="19" t="s">
        <v>285</v>
      </c>
      <c r="O16" s="19" t="s">
        <v>227</v>
      </c>
      <c r="R16" s="19">
        <v>2</v>
      </c>
      <c r="S16" s="19" t="s">
        <v>34</v>
      </c>
      <c r="T16" s="19" t="s">
        <v>47</v>
      </c>
    </row>
    <row r="17" spans="2:20" ht="20.149999999999999" customHeight="1" x14ac:dyDescent="0.45">
      <c r="B17" s="29"/>
      <c r="C17" s="17"/>
      <c r="D17" s="487"/>
      <c r="E17" s="487"/>
      <c r="F17" s="487"/>
      <c r="G17" s="76"/>
      <c r="H17" s="56"/>
      <c r="I17" s="494"/>
      <c r="J17" s="494"/>
      <c r="K17" s="80"/>
      <c r="L17" s="64"/>
      <c r="M17" s="65"/>
      <c r="N17" s="93" t="s">
        <v>292</v>
      </c>
      <c r="O17" s="19" t="s">
        <v>304</v>
      </c>
      <c r="R17" s="19">
        <v>2</v>
      </c>
      <c r="S17" s="19" t="s">
        <v>34</v>
      </c>
      <c r="T17" s="19" t="s">
        <v>47</v>
      </c>
    </row>
    <row r="18" spans="2:20" ht="20.149999999999999" customHeight="1" x14ac:dyDescent="0.45">
      <c r="B18" s="29"/>
      <c r="C18" s="17"/>
      <c r="D18" s="487"/>
      <c r="E18" s="487"/>
      <c r="F18" s="487"/>
      <c r="G18" s="76"/>
      <c r="H18" s="56"/>
      <c r="I18" s="494"/>
      <c r="J18" s="494"/>
      <c r="K18" s="80"/>
      <c r="L18" s="64"/>
      <c r="M18" s="65"/>
      <c r="N18" s="19" t="s">
        <v>294</v>
      </c>
      <c r="O18" s="19" t="s">
        <v>221</v>
      </c>
      <c r="R18" s="19">
        <v>3</v>
      </c>
      <c r="S18" s="19" t="s">
        <v>45</v>
      </c>
      <c r="T18" s="19" t="s">
        <v>57</v>
      </c>
    </row>
    <row r="19" spans="2:20" ht="20.149999999999999" customHeight="1" x14ac:dyDescent="0.45">
      <c r="B19" s="29"/>
      <c r="C19" s="17"/>
      <c r="D19" s="487"/>
      <c r="E19" s="487"/>
      <c r="F19" s="487"/>
      <c r="G19" s="76"/>
      <c r="H19" s="56"/>
      <c r="I19" s="494"/>
      <c r="J19" s="494"/>
      <c r="K19" s="80"/>
      <c r="L19" s="64"/>
      <c r="M19" s="65"/>
      <c r="N19" s="93" t="s">
        <v>301</v>
      </c>
      <c r="O19" s="19" t="s">
        <v>380</v>
      </c>
      <c r="R19" s="19">
        <v>3</v>
      </c>
      <c r="S19" s="19" t="s">
        <v>381</v>
      </c>
      <c r="T19" s="19" t="s">
        <v>431</v>
      </c>
    </row>
    <row r="20" spans="2:20" ht="20.149999999999999" customHeight="1" x14ac:dyDescent="0.45">
      <c r="B20" s="29"/>
      <c r="C20" s="17"/>
      <c r="D20" s="487"/>
      <c r="E20" s="487"/>
      <c r="F20" s="487"/>
      <c r="G20" s="76"/>
      <c r="H20" s="56"/>
      <c r="I20" s="494"/>
      <c r="J20" s="494"/>
      <c r="K20" s="80"/>
      <c r="L20" s="64"/>
      <c r="M20" s="65"/>
    </row>
    <row r="21" spans="2:20" ht="20.149999999999999" customHeight="1" x14ac:dyDescent="0.45">
      <c r="B21" s="29"/>
      <c r="C21" s="17"/>
      <c r="D21" s="487"/>
      <c r="E21" s="487"/>
      <c r="F21" s="487"/>
      <c r="G21" s="76"/>
      <c r="H21" s="56"/>
      <c r="I21" s="494"/>
      <c r="J21" s="494"/>
      <c r="K21" s="80"/>
      <c r="L21" s="64"/>
      <c r="M21" s="65"/>
    </row>
    <row r="22" spans="2:20" ht="20.149999999999999" customHeight="1" x14ac:dyDescent="0.45">
      <c r="B22" s="29"/>
      <c r="C22" s="17"/>
      <c r="D22" s="487"/>
      <c r="E22" s="487"/>
      <c r="F22" s="487"/>
      <c r="G22" s="76"/>
      <c r="H22" s="56"/>
      <c r="I22" s="494"/>
      <c r="J22" s="494"/>
      <c r="K22" s="80"/>
      <c r="L22" s="64"/>
      <c r="M22" s="65"/>
    </row>
    <row r="23" spans="2:20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80"/>
      <c r="L23" s="64"/>
      <c r="M23" s="65"/>
    </row>
    <row r="24" spans="2:20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80"/>
      <c r="L24" s="64"/>
      <c r="M24" s="65"/>
    </row>
    <row r="25" spans="2:20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80"/>
      <c r="L25" s="64"/>
      <c r="M25" s="65"/>
    </row>
    <row r="26" spans="2:20" ht="20.149999999999999" customHeight="1" x14ac:dyDescent="0.45">
      <c r="B26" s="29"/>
      <c r="C26" s="17"/>
      <c r="D26" s="487"/>
      <c r="E26" s="487"/>
      <c r="F26" s="487"/>
      <c r="G26" s="76"/>
      <c r="H26" s="56"/>
      <c r="I26" s="494"/>
      <c r="J26" s="494"/>
      <c r="K26" s="80"/>
      <c r="L26" s="64"/>
      <c r="M26" s="65"/>
    </row>
    <row r="27" spans="2:20" ht="20.149999999999999" customHeight="1" x14ac:dyDescent="0.45">
      <c r="B27" s="29"/>
      <c r="C27" s="17"/>
      <c r="D27" s="487"/>
      <c r="E27" s="487"/>
      <c r="F27" s="487"/>
      <c r="G27" s="76"/>
      <c r="H27" s="56"/>
      <c r="I27" s="494"/>
      <c r="J27" s="494"/>
      <c r="K27" s="80"/>
      <c r="L27" s="64"/>
      <c r="M27" s="65"/>
    </row>
    <row r="28" spans="2:20" ht="20.149999999999999" customHeight="1" x14ac:dyDescent="0.45">
      <c r="B28" s="29"/>
      <c r="C28" s="17"/>
      <c r="D28" s="487"/>
      <c r="E28" s="487"/>
      <c r="F28" s="487"/>
      <c r="G28" s="76"/>
      <c r="H28" s="56"/>
      <c r="I28" s="494"/>
      <c r="J28" s="494"/>
      <c r="K28" s="80"/>
      <c r="L28" s="64"/>
      <c r="M28" s="65"/>
    </row>
    <row r="29" spans="2:20" ht="20.149999999999999" customHeight="1" x14ac:dyDescent="0.45">
      <c r="B29" s="29"/>
      <c r="C29" s="17"/>
      <c r="D29" s="487"/>
      <c r="E29" s="487"/>
      <c r="F29" s="487"/>
      <c r="G29" s="76"/>
      <c r="H29" s="56"/>
      <c r="I29" s="494"/>
      <c r="J29" s="494"/>
      <c r="K29" s="80"/>
      <c r="L29" s="64"/>
      <c r="M29" s="65"/>
    </row>
    <row r="30" spans="2:20" ht="20.149999999999999" customHeight="1" x14ac:dyDescent="0.45">
      <c r="B30" s="29"/>
      <c r="C30" s="17"/>
      <c r="D30" s="487"/>
      <c r="E30" s="487"/>
      <c r="F30" s="487"/>
      <c r="G30" s="17"/>
      <c r="H30" s="56"/>
      <c r="I30" s="494"/>
      <c r="J30" s="494"/>
      <c r="K30" s="80"/>
      <c r="L30" s="64"/>
      <c r="M30" s="65"/>
    </row>
    <row r="31" spans="2:20" ht="20.149999999999999" customHeight="1" x14ac:dyDescent="0.45">
      <c r="B31" s="29"/>
      <c r="C31" s="17"/>
      <c r="D31" s="487"/>
      <c r="E31" s="487"/>
      <c r="F31" s="487"/>
      <c r="G31" s="17"/>
      <c r="H31" s="56"/>
      <c r="I31" s="494"/>
      <c r="J31" s="494"/>
      <c r="K31" s="80"/>
      <c r="L31" s="64"/>
      <c r="M31" s="65"/>
    </row>
    <row r="32" spans="2:20" ht="20.149999999999999" customHeight="1" x14ac:dyDescent="0.45">
      <c r="B32" s="29"/>
      <c r="C32" s="17"/>
      <c r="D32" s="487"/>
      <c r="E32" s="487"/>
      <c r="F32" s="487"/>
      <c r="G32" s="17"/>
      <c r="H32" s="56"/>
      <c r="I32" s="494"/>
      <c r="J32" s="494"/>
      <c r="K32" s="80"/>
      <c r="L32" s="64"/>
    </row>
    <row r="33" spans="2:13" ht="20.149999999999999" customHeight="1" thickBot="1" x14ac:dyDescent="0.5">
      <c r="B33" s="32"/>
      <c r="C33" s="33"/>
      <c r="D33" s="488"/>
      <c r="E33" s="488"/>
      <c r="F33" s="488"/>
      <c r="G33" s="33"/>
      <c r="H33" s="57"/>
      <c r="I33" s="459"/>
      <c r="J33" s="459"/>
      <c r="K33" s="34"/>
      <c r="L33" s="35"/>
    </row>
    <row r="34" spans="2:13" ht="20.149999999999999" customHeight="1" thickBot="1" x14ac:dyDescent="0.5">
      <c r="B34" s="36"/>
      <c r="L34" s="37"/>
    </row>
    <row r="35" spans="2:13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89" t="s">
        <v>13</v>
      </c>
      <c r="K35" s="490"/>
      <c r="L35" s="38">
        <f>SUM(L13:L32)</f>
        <v>9599.6</v>
      </c>
      <c r="M35" s="63">
        <f>166+26</f>
        <v>192</v>
      </c>
    </row>
    <row r="36" spans="2:13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3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91" t="s">
        <v>19</v>
      </c>
      <c r="K37" s="492"/>
      <c r="L37" s="41">
        <f>L35-L36</f>
        <v>9599.6</v>
      </c>
    </row>
    <row r="38" spans="2:13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/>
      <c r="L38" s="42"/>
    </row>
    <row r="39" spans="2:13" ht="20.149999999999999" customHeight="1" thickBot="1" x14ac:dyDescent="0.5">
      <c r="B39" s="10" t="s">
        <v>23</v>
      </c>
      <c r="C39" s="6"/>
      <c r="D39" s="6"/>
      <c r="E39" s="6"/>
      <c r="F39" s="6"/>
      <c r="G39" s="6"/>
      <c r="H39" s="6"/>
      <c r="I39" s="6"/>
      <c r="J39" s="485" t="s">
        <v>21</v>
      </c>
      <c r="K39" s="486"/>
      <c r="L39" s="43">
        <f>L37+L38</f>
        <v>9599.6</v>
      </c>
    </row>
    <row r="40" spans="2:13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44"/>
      <c r="C45" s="45"/>
      <c r="D45" s="45"/>
      <c r="J45" s="45"/>
      <c r="K45" s="45"/>
      <c r="L45" s="46"/>
    </row>
    <row r="46" spans="2:13" ht="20.149999999999999" customHeight="1" x14ac:dyDescent="0.45">
      <c r="B46" s="36" t="s">
        <v>25</v>
      </c>
      <c r="J46" s="19" t="s">
        <v>26</v>
      </c>
      <c r="L46" s="37"/>
    </row>
    <row r="47" spans="2:13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57">
    <mergeCell ref="K6:L6"/>
    <mergeCell ref="B7:D7"/>
    <mergeCell ref="F7:H11"/>
    <mergeCell ref="K7:L7"/>
    <mergeCell ref="B8:D8"/>
    <mergeCell ref="K8:L8"/>
    <mergeCell ref="B9:D9"/>
    <mergeCell ref="K9:L9"/>
    <mergeCell ref="B10:D10"/>
    <mergeCell ref="K10:L10"/>
    <mergeCell ref="B11:D11"/>
    <mergeCell ref="K11:L11"/>
    <mergeCell ref="D13:F13"/>
    <mergeCell ref="I13:J13"/>
    <mergeCell ref="D14:F14"/>
    <mergeCell ref="I14:J14"/>
    <mergeCell ref="D15:F15"/>
    <mergeCell ref="I15:J15"/>
    <mergeCell ref="D16:F16"/>
    <mergeCell ref="I16:J16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J35:K35"/>
    <mergeCell ref="J37:K37"/>
    <mergeCell ref="J39:K39"/>
    <mergeCell ref="D31:F31"/>
    <mergeCell ref="I31:J31"/>
    <mergeCell ref="D32:F32"/>
    <mergeCell ref="I32:J32"/>
    <mergeCell ref="D33:F33"/>
    <mergeCell ref="I33:J33"/>
  </mergeCells>
  <pageMargins left="0.70866141732283505" right="0.31496062992126" top="2.1653543307086598" bottom="0" header="0.31496062992126" footer="0.31496062992126"/>
  <pageSetup paperSize="9" scale="77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2B6E4-C4E3-4864-88E0-9BED5AF84324}">
  <sheetPr codeName="Sheet175">
    <pageSetUpPr fitToPage="1"/>
  </sheetPr>
  <dimension ref="B1:P46"/>
  <sheetViews>
    <sheetView topLeftCell="A9" workbookViewId="0">
      <selection activeCell="F11" sqref="F11:H1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16.7265625" style="19" customWidth="1"/>
    <col min="11" max="11" width="13.26953125" style="19" customWidth="1"/>
    <col min="12" max="12" width="15.089843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/>
      <c r="J10" s="24" t="s">
        <v>27</v>
      </c>
      <c r="K10" s="464">
        <v>202211419</v>
      </c>
      <c r="L10" s="465"/>
    </row>
    <row r="11" spans="2:12" ht="20.149999999999999" customHeight="1" x14ac:dyDescent="0.45">
      <c r="B11" s="223" t="s">
        <v>1406</v>
      </c>
      <c r="C11" s="218"/>
      <c r="D11" s="219"/>
      <c r="E11" s="25"/>
      <c r="F11" s="469"/>
      <c r="G11" s="470"/>
      <c r="H11" s="471"/>
      <c r="J11" s="26" t="s">
        <v>9</v>
      </c>
      <c r="K11" s="478">
        <v>44888</v>
      </c>
      <c r="L11" s="479"/>
    </row>
    <row r="12" spans="2:12" ht="20.149999999999999" customHeight="1" x14ac:dyDescent="0.45">
      <c r="B12" s="224" t="s">
        <v>1407</v>
      </c>
      <c r="C12" s="25"/>
      <c r="D12" s="221"/>
      <c r="E12" s="25"/>
      <c r="F12" s="472"/>
      <c r="G12" s="473"/>
      <c r="H12" s="474"/>
      <c r="J12" s="26" t="s">
        <v>127</v>
      </c>
      <c r="K12" s="482" t="s">
        <v>1411</v>
      </c>
      <c r="L12" s="483"/>
    </row>
    <row r="13" spans="2:12" ht="20.149999999999999" customHeight="1" x14ac:dyDescent="0.45">
      <c r="B13" s="480" t="s">
        <v>1408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648</v>
      </c>
      <c r="L13" s="483"/>
    </row>
    <row r="14" spans="2:12" ht="20.149999999999999" customHeight="1" x14ac:dyDescent="0.45">
      <c r="B14" s="480" t="s">
        <v>1409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/>
      <c r="C15" s="476"/>
      <c r="D15" s="477"/>
      <c r="E15" s="21"/>
      <c r="F15" s="475"/>
      <c r="G15" s="476"/>
      <c r="H15" s="477"/>
      <c r="J15" s="27" t="s">
        <v>11</v>
      </c>
      <c r="K15" s="495" t="s">
        <v>1412</v>
      </c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1"/>
      <c r="G17" s="461"/>
      <c r="H17" s="461"/>
      <c r="I17" s="461"/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/>
      <c r="D18" s="225"/>
      <c r="E18" s="226"/>
      <c r="F18" s="226"/>
      <c r="G18" s="226"/>
      <c r="H18" s="226"/>
      <c r="I18" s="226"/>
      <c r="J18" s="226"/>
      <c r="K18" s="30"/>
      <c r="L18" s="64"/>
      <c r="M18" s="65"/>
      <c r="N18" s="145"/>
      <c r="O18" s="145"/>
      <c r="P18" s="145"/>
    </row>
    <row r="19" spans="2:16" ht="20.149999999999999" customHeight="1" x14ac:dyDescent="0.45">
      <c r="B19" s="29"/>
      <c r="C19" s="17"/>
      <c r="D19" s="606" t="s">
        <v>1410</v>
      </c>
      <c r="E19" s="606"/>
      <c r="F19" s="606"/>
      <c r="G19" s="606"/>
      <c r="H19" s="606"/>
      <c r="I19" s="606"/>
      <c r="J19" s="606"/>
      <c r="K19" s="227">
        <v>3210</v>
      </c>
      <c r="L19" s="228">
        <v>3210</v>
      </c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606"/>
      <c r="E20" s="606"/>
      <c r="F20" s="606"/>
      <c r="G20" s="606"/>
      <c r="H20" s="606"/>
      <c r="I20" s="606"/>
      <c r="J20" s="606"/>
      <c r="K20" s="227"/>
      <c r="L20" s="228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87"/>
      <c r="E21" s="487"/>
      <c r="F21" s="487"/>
      <c r="G21" s="76"/>
      <c r="H21" s="186"/>
      <c r="I21" s="484"/>
      <c r="J21" s="484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87"/>
      <c r="E22" s="487"/>
      <c r="F22" s="487"/>
      <c r="G22" s="76"/>
      <c r="H22" s="56"/>
      <c r="I22" s="494"/>
      <c r="J22" s="494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87"/>
      <c r="E26" s="487"/>
      <c r="F26" s="487"/>
      <c r="G26" s="76"/>
      <c r="H26" s="56"/>
      <c r="I26" s="494"/>
      <c r="J26" s="494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87"/>
      <c r="E27" s="487"/>
      <c r="F27" s="487"/>
      <c r="G27" s="76"/>
      <c r="H27" s="56"/>
      <c r="I27" s="494"/>
      <c r="J27" s="494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D28" s="487"/>
      <c r="E28" s="487"/>
      <c r="F28" s="487"/>
      <c r="G28" s="76"/>
      <c r="H28" s="186"/>
      <c r="I28" s="519"/>
      <c r="J28" s="519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17"/>
      <c r="D29" s="487"/>
      <c r="E29" s="487"/>
      <c r="F29" s="487"/>
      <c r="G29" s="76"/>
      <c r="H29" s="186"/>
      <c r="I29" s="519"/>
      <c r="J29" s="519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17"/>
      <c r="D30" s="487"/>
      <c r="E30" s="487"/>
      <c r="F30" s="487"/>
      <c r="G30" s="76"/>
      <c r="H30" s="165"/>
      <c r="I30" s="494"/>
      <c r="J30" s="494"/>
      <c r="K30" s="30"/>
      <c r="L30" s="64"/>
      <c r="M30" s="65"/>
      <c r="N30" s="145"/>
      <c r="O30" s="145"/>
      <c r="P30" s="145"/>
    </row>
    <row r="31" spans="2:16" ht="20.149999999999999" customHeight="1" x14ac:dyDescent="0.45">
      <c r="B31" s="29"/>
      <c r="C31" s="17"/>
      <c r="G31" s="76"/>
      <c r="H31" s="165"/>
      <c r="I31" s="56"/>
      <c r="J31" s="56"/>
      <c r="K31" s="30"/>
      <c r="L31" s="64"/>
      <c r="M31" s="65"/>
      <c r="N31" s="145"/>
      <c r="O31" s="145"/>
      <c r="P31" s="145"/>
    </row>
    <row r="32" spans="2:16" ht="20.149999999999999" customHeight="1" thickBot="1" x14ac:dyDescent="0.5">
      <c r="B32" s="32"/>
      <c r="C32" s="33"/>
      <c r="D32" s="488"/>
      <c r="E32" s="488"/>
      <c r="F32" s="488"/>
      <c r="G32" s="33"/>
      <c r="H32" s="57"/>
      <c r="I32" s="459"/>
      <c r="J32" s="459"/>
      <c r="K32" s="34"/>
      <c r="L32" s="3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89" t="s">
        <v>13</v>
      </c>
      <c r="K34" s="490"/>
      <c r="L34" s="38">
        <f>SUM(L14:L30)</f>
        <v>3210</v>
      </c>
      <c r="M34" s="63">
        <f>SUM(P18:P30)</f>
        <v>0</v>
      </c>
      <c r="N34" s="133">
        <f>M34/L34</f>
        <v>0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91" t="s">
        <v>19</v>
      </c>
      <c r="K36" s="492"/>
      <c r="L36" s="41">
        <f>L34-L35</f>
        <v>3210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v>7.0000000000000007E-2</v>
      </c>
      <c r="L37" s="42">
        <f>L36*K37</f>
        <v>224.70000000000002</v>
      </c>
    </row>
    <row r="38" spans="2:14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85" t="s">
        <v>21</v>
      </c>
      <c r="K38" s="486"/>
      <c r="L38" s="43">
        <f>L36+L37</f>
        <v>3434.7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36"/>
      <c r="L40" s="37"/>
    </row>
    <row r="41" spans="2:14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38">
    <mergeCell ref="J34:K34"/>
    <mergeCell ref="J36:K36"/>
    <mergeCell ref="J38:K38"/>
    <mergeCell ref="D17:J17"/>
    <mergeCell ref="D19:J20"/>
    <mergeCell ref="D29:F29"/>
    <mergeCell ref="I29:J29"/>
    <mergeCell ref="D30:F30"/>
    <mergeCell ref="I30:J30"/>
    <mergeCell ref="D32:F32"/>
    <mergeCell ref="I32:J32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1:F21"/>
    <mergeCell ref="I21:J21"/>
    <mergeCell ref="D22:F22"/>
    <mergeCell ref="I22:J22"/>
    <mergeCell ref="K15:L15"/>
    <mergeCell ref="B1:L8"/>
    <mergeCell ref="K10:L10"/>
    <mergeCell ref="F11:H15"/>
    <mergeCell ref="K11:L11"/>
    <mergeCell ref="K12:L12"/>
    <mergeCell ref="B13:D13"/>
    <mergeCell ref="K13:L13"/>
    <mergeCell ref="B14:D14"/>
    <mergeCell ref="K14:L14"/>
    <mergeCell ref="B15:D15"/>
  </mergeCells>
  <pageMargins left="0.5" right="0.25" top="0.5" bottom="0.25" header="0.31496062992126" footer="0.31496062992126"/>
  <pageSetup paperSize="9" scale="76" orientation="portrait" r:id="rId1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B198C-3D6F-4136-879F-69DB990D9A43}">
  <sheetPr codeName="Sheet83"/>
  <dimension ref="A1"/>
  <sheetViews>
    <sheetView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B1104-3DAD-494A-9B30-9066D363BD43}">
  <sheetPr codeName="Sheet79">
    <tabColor rgb="FFFFC000"/>
    <pageSetUpPr fitToPage="1"/>
  </sheetPr>
  <dimension ref="A1:S46"/>
  <sheetViews>
    <sheetView topLeftCell="A7" zoomScaleNormal="100" workbookViewId="0">
      <selection activeCell="L18" sqref="L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115</v>
      </c>
      <c r="J10" s="24" t="s">
        <v>27</v>
      </c>
      <c r="K10" s="464">
        <v>202501260</v>
      </c>
      <c r="L10" s="465"/>
    </row>
    <row r="11" spans="2:14" ht="20.149999999999999" customHeight="1" x14ac:dyDescent="0.45">
      <c r="B11" s="466" t="s">
        <v>320</v>
      </c>
      <c r="C11" s="467"/>
      <c r="D11" s="468"/>
      <c r="E11" s="25"/>
      <c r="F11" s="469" t="str">
        <f>VLOOKUP(H10,'Delivery Location'!A$4:N$466,2,0)</f>
        <v>Dessert Station                                         270 Queen Street #01-41 Albert Centre. Singapore</v>
      </c>
      <c r="G11" s="470"/>
      <c r="H11" s="471"/>
      <c r="J11" s="26" t="s">
        <v>9</v>
      </c>
      <c r="K11" s="478">
        <v>45668</v>
      </c>
      <c r="L11" s="479"/>
    </row>
    <row r="12" spans="2:14" ht="20.149999999999999" customHeight="1" x14ac:dyDescent="0.45">
      <c r="B12" s="480" t="s">
        <v>393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4" ht="20.149999999999999" customHeight="1" x14ac:dyDescent="0.45">
      <c r="B13" s="480" t="s">
        <v>321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451</v>
      </c>
      <c r="L13" s="483"/>
      <c r="N13" s="198" t="s">
        <v>1452</v>
      </c>
    </row>
    <row r="14" spans="2:14" ht="20.149999999999999" customHeight="1" x14ac:dyDescent="0.45">
      <c r="B14" s="480" t="s">
        <v>1261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50"/>
      <c r="C15" s="51"/>
      <c r="D15" s="52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1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1:19" ht="20.149999999999999" customHeight="1" x14ac:dyDescent="0.45">
      <c r="A18" s="19" t="s">
        <v>439</v>
      </c>
      <c r="B18" s="29"/>
      <c r="C18" s="212" t="s">
        <v>697</v>
      </c>
      <c r="D18" s="487" t="str">
        <f>VLOOKUP(C18,'Sales Master'!B$3:D$537,2,)</f>
        <v xml:space="preserve">Fresh Soursop 红毛榴莲 </v>
      </c>
      <c r="E18" s="487"/>
      <c r="F18" s="487"/>
      <c r="G18" s="76">
        <v>1</v>
      </c>
      <c r="H18" s="186" t="str">
        <f>VLOOKUP(C18,'Sales Master'!$B$3:$F$2490,5,0)</f>
        <v>GW:5 KG/ Pkt包</v>
      </c>
      <c r="I18" s="484" t="str">
        <f>VLOOKUP(C18,'Sales Master'!$B$3:$E$2490,4,0)</f>
        <v>DO!</v>
      </c>
      <c r="J18" s="484"/>
      <c r="K18" s="80">
        <f>VLOOKUP(C18,'Sales Master'!B$3:L$537,11,0)</f>
        <v>35</v>
      </c>
      <c r="L18" s="64">
        <f>K18*G18</f>
        <v>35</v>
      </c>
      <c r="M18" s="65"/>
      <c r="R18" s="63"/>
      <c r="S18" s="63"/>
    </row>
    <row r="19" spans="1:19" ht="20.149999999999999" customHeight="1" x14ac:dyDescent="0.45">
      <c r="B19" s="29"/>
      <c r="C19" s="212" t="s">
        <v>733</v>
      </c>
      <c r="D19" s="487" t="str">
        <f>VLOOKUP(C19,'Sales Master'!B$3:D$537,2,)</f>
        <v>Tadpole JELLY  蝌蚪</v>
      </c>
      <c r="E19" s="487"/>
      <c r="F19" s="487"/>
      <c r="G19" s="76">
        <v>2</v>
      </c>
      <c r="H19" s="186" t="str">
        <f>VLOOKUP(C19,'Sales Master'!$B$3:$F$2490,5,0)</f>
        <v>1 KG/ Bag包</v>
      </c>
      <c r="I19" s="484" t="str">
        <f>VLOOKUP(C19,'Sales Master'!$B$3:$E$2490,4,0)</f>
        <v>FJ</v>
      </c>
      <c r="J19" s="484"/>
      <c r="K19" s="80">
        <f>VLOOKUP(C19,'Sales Master'!B$3:L$537,11,0)</f>
        <v>6.5</v>
      </c>
      <c r="L19" s="64">
        <f>K19*G19</f>
        <v>13</v>
      </c>
      <c r="M19" s="65"/>
      <c r="R19" s="63"/>
      <c r="S19" s="63">
        <f>N19*G19*0.08</f>
        <v>0</v>
      </c>
    </row>
    <row r="20" spans="1:19" ht="20.149999999999999" customHeight="1" x14ac:dyDescent="0.45">
      <c r="B20" s="29"/>
      <c r="C20" s="212" t="s">
        <v>804</v>
      </c>
      <c r="D20" s="487" t="str">
        <f>VLOOKUP(C20,'Sales Master'!B$3:D$537,2,)</f>
        <v>Atap Seeds in Syrup 亚嗒子</v>
      </c>
      <c r="E20" s="487"/>
      <c r="F20" s="487"/>
      <c r="G20" s="76">
        <v>5</v>
      </c>
      <c r="H20" s="204" t="str">
        <f>VLOOKUP(C20,'Sales Master'!$B$3:$F$2490,5,0)</f>
        <v>NW(2.1:0.9) 3kg/ Bag包</v>
      </c>
      <c r="I20" s="484" t="str">
        <f>VLOOKUP(C20,'Sales Master'!$B$3:$E$2490,4,0)</f>
        <v>DO!</v>
      </c>
      <c r="J20" s="484"/>
      <c r="K20" s="80">
        <f>VLOOKUP(C20,'Sales Master'!B$3:L$537,11,0)</f>
        <v>13.8</v>
      </c>
      <c r="L20" s="64">
        <f>K20*G20</f>
        <v>69</v>
      </c>
      <c r="M20" s="65"/>
      <c r="R20" s="63"/>
      <c r="S20" s="63">
        <f>N20*G20*0.08</f>
        <v>0</v>
      </c>
    </row>
    <row r="21" spans="1:19" ht="20.149999999999999" customHeight="1" x14ac:dyDescent="0.45">
      <c r="B21" s="29"/>
      <c r="C21" s="212" t="s">
        <v>1018</v>
      </c>
      <c r="D21" s="487" t="str">
        <f>VLOOKUP(C21,'Sales Master'!B$3:D$537,2,)</f>
        <v>Food Coloring - Liquid 颜色水</v>
      </c>
      <c r="E21" s="487"/>
      <c r="F21" s="487"/>
      <c r="G21" s="76">
        <v>1</v>
      </c>
      <c r="H21" s="204" t="str">
        <f>VLOOKUP(C21,'Sales Master'!$B$3:$F$2490,5,0)</f>
        <v>500 ML/ Btl支</v>
      </c>
      <c r="I21" s="484" t="str">
        <f>VLOOKUP(C21,'Sales Master'!$B$3:$E$2490,4,0)</f>
        <v>Green/青</v>
      </c>
      <c r="J21" s="484"/>
      <c r="K21" s="80">
        <f>VLOOKUP(C21,'Sales Master'!B$3:L$537,11,0)</f>
        <v>2.8</v>
      </c>
      <c r="L21" s="64">
        <f>K21*G21</f>
        <v>2.8</v>
      </c>
      <c r="M21" s="65"/>
      <c r="R21" s="63"/>
      <c r="S21" s="63"/>
    </row>
    <row r="22" spans="1:19" ht="20.149999999999999" customHeight="1" x14ac:dyDescent="0.45">
      <c r="B22" s="29"/>
      <c r="C22" s="212" t="s">
        <v>1017</v>
      </c>
      <c r="D22" s="487" t="str">
        <f>VLOOKUP(C22,'Sales Master'!B$3:D$537,2,)</f>
        <v>Food Coloring - Liquid 颜色水</v>
      </c>
      <c r="E22" s="487"/>
      <c r="F22" s="487"/>
      <c r="G22" s="76">
        <v>1</v>
      </c>
      <c r="H22" s="204" t="str">
        <f>VLOOKUP(C22,'Sales Master'!$B$3:$F$2490,5,0)</f>
        <v>500 ML/ Btl支</v>
      </c>
      <c r="I22" s="484" t="str">
        <f>VLOOKUP(C22,'Sales Master'!$B$3:$E$2490,4,0)</f>
        <v>Red/红</v>
      </c>
      <c r="J22" s="484"/>
      <c r="K22" s="80">
        <f>VLOOKUP(C22,'Sales Master'!B$3:L$537,11,0)</f>
        <v>2.8</v>
      </c>
      <c r="L22" s="64">
        <f>K22*G22</f>
        <v>2.8</v>
      </c>
      <c r="M22" s="65"/>
      <c r="N22" s="145"/>
      <c r="O22" s="145"/>
      <c r="P22" s="145"/>
      <c r="R22" s="63"/>
      <c r="S22" s="63"/>
    </row>
    <row r="23" spans="1:19" ht="20.149999999999999" customHeight="1" x14ac:dyDescent="0.45">
      <c r="B23" s="29"/>
      <c r="C23" s="212"/>
      <c r="G23" s="76"/>
      <c r="H23" s="204"/>
      <c r="I23" s="208"/>
      <c r="J23" s="208"/>
      <c r="K23" s="80"/>
      <c r="L23" s="64"/>
      <c r="M23" s="65"/>
      <c r="N23" s="145"/>
      <c r="O23" s="145"/>
      <c r="P23" s="145"/>
      <c r="R23" s="63"/>
      <c r="S23" s="63"/>
    </row>
    <row r="24" spans="1:19" ht="20.149999999999999" customHeight="1" x14ac:dyDescent="0.45">
      <c r="B24" s="29"/>
      <c r="C24" s="212"/>
      <c r="G24" s="76"/>
      <c r="H24" s="204"/>
      <c r="I24" s="208"/>
      <c r="J24" s="208"/>
      <c r="K24" s="80"/>
      <c r="L24" s="64"/>
      <c r="M24" s="65"/>
      <c r="N24" s="145"/>
      <c r="O24" s="145"/>
      <c r="P24" s="145"/>
      <c r="R24" s="63"/>
      <c r="S24" s="63"/>
    </row>
    <row r="25" spans="1:19" ht="20.149999999999999" customHeight="1" x14ac:dyDescent="0.45">
      <c r="B25" s="29"/>
      <c r="C25" s="212"/>
      <c r="G25" s="76"/>
      <c r="H25" s="186"/>
      <c r="I25" s="208"/>
      <c r="J25" s="208"/>
      <c r="K25" s="80"/>
      <c r="L25" s="64"/>
      <c r="M25" s="65"/>
      <c r="N25" s="145"/>
      <c r="O25" s="145"/>
      <c r="P25" s="145"/>
      <c r="R25" s="63"/>
      <c r="S25" s="63"/>
    </row>
    <row r="26" spans="1:19" ht="20.149999999999999" customHeight="1" x14ac:dyDescent="0.45">
      <c r="B26" s="29"/>
      <c r="C26" s="198" t="s">
        <v>2146</v>
      </c>
      <c r="E26" s="147"/>
      <c r="F26" s="147"/>
      <c r="G26" s="76"/>
      <c r="H26" s="56"/>
      <c r="I26" s="56"/>
      <c r="J26" s="56"/>
      <c r="K26" s="190"/>
      <c r="L26" s="64"/>
      <c r="M26" s="65"/>
      <c r="N26" s="145"/>
      <c r="O26" s="145"/>
      <c r="P26" s="145"/>
      <c r="R26" s="63"/>
      <c r="S26" s="63"/>
    </row>
    <row r="27" spans="1:19" ht="20.149999999999999" customHeight="1" x14ac:dyDescent="0.45">
      <c r="B27" s="29"/>
      <c r="C27" s="212" t="s">
        <v>697</v>
      </c>
      <c r="D27" s="493" t="str">
        <f>VLOOKUP(C27,'Sales Master'!B$3:D$537,2,)</f>
        <v xml:space="preserve">Fresh Soursop 红毛榴莲 </v>
      </c>
      <c r="E27" s="493"/>
      <c r="F27" s="493"/>
      <c r="G27" s="76">
        <v>1</v>
      </c>
      <c r="H27" s="85" t="str">
        <f>VLOOKUP(C27,'Sales Master'!$B$3:$F$2420,5,0)</f>
        <v>GW:5 KG/ Pkt包</v>
      </c>
      <c r="I27" s="484" t="str">
        <f>VLOOKUP(C27,'Sales Master'!$B$3:$E$2488,4,0)</f>
        <v>DO!</v>
      </c>
      <c r="J27" s="484"/>
      <c r="K27" s="80">
        <v>35</v>
      </c>
      <c r="L27" s="84"/>
      <c r="M27" s="65"/>
    </row>
    <row r="28" spans="1:19" ht="20.149999999999999" customHeight="1" x14ac:dyDescent="0.45">
      <c r="B28" s="29"/>
      <c r="C28" s="153"/>
      <c r="E28" s="147"/>
      <c r="F28" s="147"/>
      <c r="G28" s="76"/>
      <c r="H28" s="56"/>
      <c r="I28" s="56"/>
      <c r="J28" s="56"/>
      <c r="K28" s="150"/>
      <c r="L28" s="84"/>
      <c r="M28" s="65"/>
    </row>
    <row r="29" spans="1:19" ht="20.149999999999999" customHeight="1" x14ac:dyDescent="0.45">
      <c r="B29" s="29"/>
      <c r="C29" s="212"/>
      <c r="D29" s="487"/>
      <c r="E29" s="487"/>
      <c r="F29" s="487"/>
      <c r="G29" s="76"/>
      <c r="H29" s="186"/>
      <c r="I29" s="484"/>
      <c r="J29" s="484"/>
      <c r="K29" s="83"/>
      <c r="L29" s="84"/>
      <c r="M29" s="65"/>
    </row>
    <row r="30" spans="1:19" ht="20.149999999999999" customHeight="1" x14ac:dyDescent="0.45">
      <c r="B30" s="29"/>
      <c r="C30" s="212"/>
      <c r="D30" s="487"/>
      <c r="E30" s="487"/>
      <c r="F30" s="487"/>
      <c r="G30" s="76"/>
      <c r="H30" s="186"/>
      <c r="I30" s="484"/>
      <c r="J30" s="484"/>
      <c r="K30" s="80"/>
      <c r="L30" s="84"/>
      <c r="M30" s="65"/>
    </row>
    <row r="31" spans="1:19" ht="20.149999999999999" customHeight="1" x14ac:dyDescent="0.45">
      <c r="B31" s="29"/>
      <c r="C31" s="17"/>
      <c r="D31" s="446"/>
      <c r="E31" s="446"/>
      <c r="F31" s="446"/>
      <c r="G31" s="76"/>
      <c r="H31" s="82"/>
      <c r="I31" s="447"/>
      <c r="J31" s="447"/>
      <c r="K31" s="150"/>
      <c r="L31" s="84"/>
      <c r="M31" s="65"/>
    </row>
    <row r="32" spans="1:19" ht="20.149999999999999" customHeight="1" thickBot="1" x14ac:dyDescent="0.5">
      <c r="B32" s="32"/>
      <c r="C32" s="33"/>
      <c r="D32" s="488"/>
      <c r="E32" s="488"/>
      <c r="F32" s="488"/>
      <c r="G32" s="33"/>
      <c r="H32" s="57"/>
      <c r="I32" s="459"/>
      <c r="J32" s="459"/>
      <c r="K32" s="34"/>
      <c r="L32" s="35"/>
    </row>
    <row r="33" spans="2:13" ht="20.149999999999999" customHeight="1" thickBot="1" x14ac:dyDescent="0.5">
      <c r="B33" s="36"/>
      <c r="L33" s="37"/>
    </row>
    <row r="34" spans="2:13" ht="20.149999999999999" customHeight="1" x14ac:dyDescent="0.45">
      <c r="B34" s="36"/>
      <c r="C34" s="6"/>
      <c r="D34" s="6"/>
      <c r="E34" s="6"/>
      <c r="F34" s="6"/>
      <c r="G34" s="6"/>
      <c r="H34" s="6"/>
      <c r="I34" s="6"/>
      <c r="J34" s="489" t="s">
        <v>13</v>
      </c>
      <c r="K34" s="490"/>
      <c r="L34" s="38">
        <f>SUM(L17:L31)</f>
        <v>122.6</v>
      </c>
      <c r="M34" s="63">
        <f>SUM(P18:P21)</f>
        <v>0</v>
      </c>
    </row>
    <row r="35" spans="2:13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  <c r="M35" s="63"/>
    </row>
    <row r="36" spans="2:13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491" t="s">
        <v>19</v>
      </c>
      <c r="K36" s="492"/>
      <c r="L36" s="41">
        <f>L34-L35</f>
        <v>122.6</v>
      </c>
    </row>
    <row r="37" spans="2:13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11.033999999999999</v>
      </c>
    </row>
    <row r="38" spans="2:13" ht="20.149999999999999" customHeight="1" thickBot="1" x14ac:dyDescent="0.5">
      <c r="B38" s="10" t="s">
        <v>22</v>
      </c>
      <c r="C38" s="6"/>
      <c r="D38" s="6"/>
      <c r="E38" s="6"/>
      <c r="F38" s="6"/>
      <c r="G38" s="6"/>
      <c r="H38" s="6"/>
      <c r="I38" s="6"/>
      <c r="J38" s="485" t="s">
        <v>21</v>
      </c>
      <c r="K38" s="486"/>
      <c r="L38" s="43">
        <f>L36+L37</f>
        <v>133.63399999999999</v>
      </c>
    </row>
    <row r="39" spans="2:13" ht="20.149999999999999" customHeight="1" x14ac:dyDescent="0.45">
      <c r="B39" s="10" t="s">
        <v>676</v>
      </c>
      <c r="C39" s="6"/>
      <c r="D39" s="6"/>
      <c r="E39" s="6"/>
      <c r="F39" s="6"/>
      <c r="G39" s="6"/>
      <c r="H39" s="6"/>
      <c r="I39" s="6"/>
      <c r="L39" s="37"/>
    </row>
    <row r="40" spans="2:13" ht="20.149999999999999" customHeight="1" x14ac:dyDescent="0.45">
      <c r="B40" s="10" t="s">
        <v>24</v>
      </c>
      <c r="L40" s="37"/>
    </row>
    <row r="41" spans="2:13" ht="20.149999999999999" customHeight="1" x14ac:dyDescent="0.45">
      <c r="B41" s="144" t="s">
        <v>666</v>
      </c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44"/>
      <c r="C45" s="45"/>
      <c r="D45" s="45"/>
      <c r="J45" s="45"/>
      <c r="K45" s="45"/>
      <c r="L45" s="46"/>
    </row>
    <row r="46" spans="2:13" ht="20.149999999999999" customHeight="1" thickBot="1" x14ac:dyDescent="0.5">
      <c r="B46" s="47" t="s">
        <v>25</v>
      </c>
      <c r="C46" s="48"/>
      <c r="D46" s="48"/>
      <c r="E46" s="48"/>
      <c r="F46" s="48"/>
      <c r="G46" s="48"/>
      <c r="H46" s="48"/>
      <c r="I46" s="48"/>
      <c r="J46" s="48" t="s">
        <v>26</v>
      </c>
      <c r="K46" s="48"/>
      <c r="L46" s="49"/>
    </row>
  </sheetData>
  <mergeCells count="37">
    <mergeCell ref="D21:F21"/>
    <mergeCell ref="I21:J21"/>
    <mergeCell ref="D20:F20"/>
    <mergeCell ref="I20:J20"/>
    <mergeCell ref="D22:F22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D18:F18"/>
    <mergeCell ref="I18:J18"/>
    <mergeCell ref="D19:F19"/>
    <mergeCell ref="I19:J19"/>
    <mergeCell ref="J38:K38"/>
    <mergeCell ref="D32:F32"/>
    <mergeCell ref="I32:J32"/>
    <mergeCell ref="J34:K34"/>
    <mergeCell ref="J36:K36"/>
    <mergeCell ref="D27:F27"/>
    <mergeCell ref="I27:J27"/>
    <mergeCell ref="D31:F31"/>
    <mergeCell ref="I31:J31"/>
    <mergeCell ref="I29:J29"/>
    <mergeCell ref="D30:F30"/>
    <mergeCell ref="I30:J30"/>
    <mergeCell ref="D29:F29"/>
  </mergeCells>
  <conditionalFormatting sqref="C26">
    <cfRule type="duplicateValues" dxfId="253" priority="1"/>
  </conditionalFormatting>
  <conditionalFormatting sqref="C27">
    <cfRule type="duplicateValues" dxfId="252" priority="2"/>
  </conditionalFormatting>
  <conditionalFormatting sqref="C28">
    <cfRule type="duplicateValues" dxfId="251" priority="3"/>
  </conditionalFormatting>
  <conditionalFormatting sqref="C29">
    <cfRule type="duplicateValues" dxfId="250" priority="4"/>
  </conditionalFormatting>
  <conditionalFormatting sqref="N13">
    <cfRule type="duplicateValues" dxfId="249" priority="6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4294967293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B3755-9584-489E-852E-11C2AA00E857}">
  <sheetPr codeName="Sheet146">
    <tabColor rgb="FFFFC000"/>
    <pageSetUpPr fitToPage="1"/>
  </sheetPr>
  <dimension ref="B1:T41"/>
  <sheetViews>
    <sheetView topLeftCell="B6" workbookViewId="0">
      <selection activeCell="D27" sqref="D27:F2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116</v>
      </c>
      <c r="J10" s="24" t="s">
        <v>27</v>
      </c>
      <c r="K10" s="464">
        <v>202501241</v>
      </c>
      <c r="L10" s="465"/>
    </row>
    <row r="11" spans="2:12" ht="20.149999999999999" customHeight="1" x14ac:dyDescent="0.45">
      <c r="B11" s="466" t="s">
        <v>191</v>
      </c>
      <c r="C11" s="467"/>
      <c r="D11" s="468"/>
      <c r="E11" s="25"/>
      <c r="F11" s="469" t="str">
        <f>VLOOKUP(H10,'Delivery Location'!A$4:N$466,2,0)</f>
        <v>甜甜                                                            Blk 28  Jalan Klinik  #09-43 Singapore  160028</v>
      </c>
      <c r="G11" s="470"/>
      <c r="H11" s="471"/>
      <c r="J11" s="26" t="s">
        <v>9</v>
      </c>
      <c r="K11" s="478">
        <v>45667</v>
      </c>
      <c r="L11" s="479"/>
    </row>
    <row r="12" spans="2:12" ht="20.149999999999999" customHeight="1" x14ac:dyDescent="0.45">
      <c r="B12" s="480" t="s">
        <v>340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1447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341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08"/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  <c r="L16" s="19" t="s">
        <v>439</v>
      </c>
    </row>
    <row r="17" spans="2:20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0" ht="20" customHeight="1" x14ac:dyDescent="0.45">
      <c r="B18" s="29"/>
      <c r="C18" s="212" t="s">
        <v>1004</v>
      </c>
      <c r="D18" s="493" t="str">
        <f>VLOOKUP(C18,'Sales Master'!B$3:D$537,2,)</f>
        <v>Sweet Potato 番薯</v>
      </c>
      <c r="E18" s="493"/>
      <c r="F18" s="493"/>
      <c r="G18" s="76">
        <v>40</v>
      </c>
      <c r="H18" s="85" t="str">
        <f>VLOOKUP(C18,'Sales Master'!$B$3:$F$2488,5,0)</f>
        <v>1 KG</v>
      </c>
      <c r="I18" s="484" t="str">
        <f>VLOOKUP(C18,'Sales Master'!$B$3:$E$2488,4,0)</f>
        <v>-</v>
      </c>
      <c r="J18" s="484"/>
      <c r="K18" s="80">
        <f>VLOOKUP(C18,'Sales Master'!B$3:AC$537,28,0)</f>
        <v>2.5</v>
      </c>
      <c r="L18" s="64">
        <f>K18*G18</f>
        <v>100</v>
      </c>
      <c r="M18" s="65"/>
      <c r="N18" s="19" t="s">
        <v>1180</v>
      </c>
    </row>
    <row r="19" spans="2:20" ht="20" customHeight="1" x14ac:dyDescent="0.45">
      <c r="B19" s="29"/>
      <c r="C19" s="212" t="s">
        <v>1180</v>
      </c>
      <c r="D19" s="493" t="str">
        <f>VLOOKUP(C19,'Sales Master'!B$3:D$537,2,)</f>
        <v>Water Chestnut 马蹄罐</v>
      </c>
      <c r="E19" s="493"/>
      <c r="F19" s="493"/>
      <c r="G19" s="76">
        <v>1</v>
      </c>
      <c r="H19" s="85" t="str">
        <f>VLOOKUP(C19,'Sales Master'!$B$3:$F$2488,5,0)</f>
        <v>(567gm x 24)/ Ctn箱</v>
      </c>
      <c r="I19" s="484" t="str">
        <f>VLOOKUP(C19,'Sales Master'!$B$3:$E$2488,4,0)</f>
        <v>GOLDEN CHAMP</v>
      </c>
      <c r="J19" s="484"/>
      <c r="K19" s="80">
        <f>VLOOKUP(C19,'Sales Master'!B$3:AC$537,28,0)</f>
        <v>34</v>
      </c>
      <c r="L19" s="64">
        <f>K19*G19</f>
        <v>34</v>
      </c>
      <c r="M19" s="65"/>
      <c r="N19" s="145"/>
      <c r="O19" s="145"/>
      <c r="P19" s="145"/>
    </row>
    <row r="20" spans="2:20" ht="20" customHeight="1" x14ac:dyDescent="0.45">
      <c r="B20" s="29"/>
      <c r="C20" s="212" t="s">
        <v>867</v>
      </c>
      <c r="D20" s="493" t="str">
        <f>VLOOKUP(C20,'Sales Master'!B$3:D$537,2,)</f>
        <v>GingKo Nut 白果粒</v>
      </c>
      <c r="E20" s="493"/>
      <c r="F20" s="493"/>
      <c r="G20" s="76">
        <v>1</v>
      </c>
      <c r="H20" s="85" t="str">
        <f>VLOOKUP(C20,'Sales Master'!$B$3:$F$2488,5,0)</f>
        <v>5 kg/ Pkt包</v>
      </c>
      <c r="I20" s="484" t="str">
        <f>VLOOKUP(C20,'Sales Master'!$B$3:$E$2488,4,0)</f>
        <v>-</v>
      </c>
      <c r="J20" s="484"/>
      <c r="K20" s="80">
        <f>VLOOKUP(C20,'Sales Master'!B$3:AC$537,28,0)</f>
        <v>19</v>
      </c>
      <c r="L20" s="64">
        <f>K20*G20</f>
        <v>19</v>
      </c>
      <c r="M20" s="65"/>
      <c r="N20" s="145"/>
      <c r="O20" s="145"/>
      <c r="P20" s="145"/>
    </row>
    <row r="21" spans="2:20" ht="20" customHeight="1" x14ac:dyDescent="0.45">
      <c r="B21" s="29"/>
      <c r="C21" s="212"/>
      <c r="D21" s="493"/>
      <c r="E21" s="493"/>
      <c r="F21" s="493"/>
      <c r="G21" s="76"/>
      <c r="H21" s="85"/>
      <c r="I21" s="484"/>
      <c r="J21" s="484"/>
      <c r="K21" s="80"/>
      <c r="L21" s="64"/>
      <c r="M21" s="65"/>
      <c r="N21" s="19" t="s">
        <v>867</v>
      </c>
    </row>
    <row r="22" spans="2:20" ht="20" customHeight="1" x14ac:dyDescent="0.45">
      <c r="B22" s="29"/>
      <c r="C22" s="212"/>
      <c r="D22" s="493"/>
      <c r="E22" s="493"/>
      <c r="F22" s="493"/>
      <c r="G22" s="76"/>
      <c r="H22" s="85"/>
      <c r="I22" s="484"/>
      <c r="J22" s="484"/>
      <c r="K22" s="80"/>
      <c r="L22" s="64"/>
      <c r="M22" s="65"/>
      <c r="N22" s="145"/>
      <c r="O22" s="145"/>
      <c r="P22" s="145"/>
    </row>
    <row r="23" spans="2:20" ht="20" customHeight="1" x14ac:dyDescent="0.45">
      <c r="B23" s="29"/>
      <c r="C23" s="212"/>
      <c r="D23" s="493"/>
      <c r="E23" s="493"/>
      <c r="F23" s="493"/>
      <c r="G23" s="76"/>
      <c r="H23" s="85"/>
      <c r="I23" s="484"/>
      <c r="J23" s="484"/>
      <c r="K23" s="80"/>
      <c r="L23" s="64"/>
      <c r="M23" s="65"/>
      <c r="N23" s="145"/>
      <c r="O23" s="145"/>
      <c r="P23" s="145"/>
    </row>
    <row r="24" spans="2:20" x14ac:dyDescent="0.45">
      <c r="B24" s="29"/>
      <c r="C24" s="153"/>
      <c r="E24" s="147"/>
      <c r="F24" s="147"/>
      <c r="G24" s="76"/>
      <c r="H24" s="56"/>
      <c r="I24" s="56"/>
      <c r="J24" s="56"/>
      <c r="K24" s="150"/>
      <c r="L24" s="64"/>
      <c r="M24" s="65"/>
      <c r="N24" s="145"/>
      <c r="O24" s="145"/>
      <c r="P24" s="145"/>
    </row>
    <row r="25" spans="2:20" ht="20.149999999999999" customHeight="1" x14ac:dyDescent="0.45">
      <c r="B25" s="29"/>
      <c r="C25" s="212"/>
      <c r="D25" s="493"/>
      <c r="E25" s="493"/>
      <c r="F25" s="493"/>
      <c r="G25" s="76"/>
      <c r="H25" s="85"/>
      <c r="I25" s="484"/>
      <c r="J25" s="484"/>
      <c r="K25" s="150"/>
      <c r="L25" s="64"/>
      <c r="M25" s="65"/>
      <c r="N25" s="145"/>
      <c r="O25" s="145"/>
      <c r="P25" s="145"/>
      <c r="S25" s="19" t="s">
        <v>381</v>
      </c>
      <c r="T25" s="19" t="s">
        <v>431</v>
      </c>
    </row>
    <row r="26" spans="2:20" x14ac:dyDescent="0.45">
      <c r="B26" s="29"/>
      <c r="C26" s="147"/>
      <c r="D26" s="147"/>
      <c r="E26" s="147"/>
      <c r="F26" s="147"/>
      <c r="G26" s="76"/>
      <c r="H26" s="85"/>
      <c r="I26" s="208"/>
      <c r="J26" s="208"/>
      <c r="K26" s="80"/>
      <c r="L26" s="64"/>
      <c r="M26" s="65"/>
      <c r="N26" s="145"/>
      <c r="O26" s="145"/>
      <c r="P26" s="145"/>
    </row>
    <row r="27" spans="2:20" ht="20.149999999999999" customHeight="1" thickBot="1" x14ac:dyDescent="0.5">
      <c r="B27" s="32"/>
      <c r="C27" s="33"/>
      <c r="D27" s="488"/>
      <c r="E27" s="488"/>
      <c r="F27" s="488"/>
      <c r="G27" s="33"/>
      <c r="H27" s="57"/>
      <c r="I27" s="459"/>
      <c r="J27" s="459"/>
      <c r="K27" s="34"/>
      <c r="L27" s="35"/>
    </row>
    <row r="28" spans="2:20" ht="20.149999999999999" customHeight="1" thickBot="1" x14ac:dyDescent="0.5">
      <c r="B28" s="36"/>
      <c r="L28" s="37"/>
    </row>
    <row r="29" spans="2:20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89" t="s">
        <v>13</v>
      </c>
      <c r="K29" s="490"/>
      <c r="L29" s="38">
        <f>SUM(L18:L28)</f>
        <v>153</v>
      </c>
      <c r="M29" s="63">
        <f>SUM(P18:P27)</f>
        <v>0</v>
      </c>
      <c r="N29" s="133">
        <f>M29/L29</f>
        <v>0</v>
      </c>
    </row>
    <row r="30" spans="2:20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20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91" t="s">
        <v>19</v>
      </c>
      <c r="K31" s="492"/>
      <c r="L31" s="41">
        <f>L29-L30</f>
        <v>153</v>
      </c>
    </row>
    <row r="32" spans="2:20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13.77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85" t="s">
        <v>21</v>
      </c>
      <c r="K33" s="486"/>
      <c r="L33" s="43">
        <f>L31+L32</f>
        <v>166.77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4">
    <mergeCell ref="J33:K33"/>
    <mergeCell ref="D27:F27"/>
    <mergeCell ref="I27:J27"/>
    <mergeCell ref="J29:K29"/>
    <mergeCell ref="J31:K31"/>
    <mergeCell ref="I25:J25"/>
    <mergeCell ref="D25:F25"/>
    <mergeCell ref="D19:F19"/>
    <mergeCell ref="I19:J19"/>
    <mergeCell ref="D20:F20"/>
    <mergeCell ref="I20:J20"/>
    <mergeCell ref="D23:F23"/>
    <mergeCell ref="I23:J23"/>
    <mergeCell ref="D22:F22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21:F21"/>
    <mergeCell ref="I21:J21"/>
  </mergeCells>
  <conditionalFormatting sqref="C24">
    <cfRule type="duplicateValues" dxfId="248" priority="1"/>
  </conditionalFormatting>
  <conditionalFormatting sqref="C25">
    <cfRule type="duplicateValues" dxfId="247" priority="2"/>
  </conditionalFormatting>
  <pageMargins left="0.70866141732283472" right="0.31496062992125984" top="0.23622047244094491" bottom="0.23622047244094491" header="0.31496062992125984" footer="0.31496062992125984"/>
  <pageSetup paperSize="9" scale="76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86957-6310-46E2-A01F-DD3D4CCE038E}">
  <sheetPr codeName="Sheet98">
    <tabColor rgb="FF7030A0"/>
    <pageSetUpPr fitToPage="1"/>
  </sheetPr>
  <dimension ref="B1:P43"/>
  <sheetViews>
    <sheetView topLeftCell="A20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8.3632812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118</v>
      </c>
      <c r="J10" s="24" t="s">
        <v>27</v>
      </c>
      <c r="K10" s="464">
        <v>202501158</v>
      </c>
      <c r="L10" s="465"/>
    </row>
    <row r="11" spans="2:12" ht="20.149999999999999" customHeight="1" x14ac:dyDescent="0.45">
      <c r="B11" s="466" t="s">
        <v>342</v>
      </c>
      <c r="C11" s="467"/>
      <c r="D11" s="468"/>
      <c r="E11" s="25"/>
      <c r="F11" s="469" t="str">
        <f>VLOOKUP(H10,'Delivery Location'!A$4:N$466,2,0)</f>
        <v>Dessert First Pte Ltd                                   37, #01-407 Jalan Rummah Tinggi Singapore 150037</v>
      </c>
      <c r="G11" s="470"/>
      <c r="H11" s="471"/>
      <c r="J11" s="26" t="s">
        <v>9</v>
      </c>
      <c r="K11" s="478">
        <v>45664</v>
      </c>
      <c r="L11" s="479"/>
    </row>
    <row r="12" spans="2:12" ht="20.149999999999999" customHeight="1" x14ac:dyDescent="0.45">
      <c r="B12" s="220"/>
      <c r="C12" s="25"/>
      <c r="D12" s="22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72"/>
      <c r="C13" s="473"/>
      <c r="D13" s="474"/>
      <c r="E13" s="25"/>
      <c r="F13" s="472"/>
      <c r="G13" s="473"/>
      <c r="H13" s="474"/>
      <c r="J13" s="26" t="s">
        <v>10</v>
      </c>
      <c r="K13" s="482" t="s">
        <v>1254</v>
      </c>
      <c r="L13" s="483"/>
    </row>
    <row r="14" spans="2:12" ht="20.149999999999999" customHeight="1" x14ac:dyDescent="0.45">
      <c r="B14" s="472"/>
      <c r="C14" s="473"/>
      <c r="D14" s="474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/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B16" s="147"/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58"/>
      <c r="C18" s="212" t="s">
        <v>697</v>
      </c>
      <c r="D18" s="487" t="str">
        <f>VLOOKUP(C18,'Sales Master'!B$3:D$537,2,)</f>
        <v xml:space="preserve">Fresh Soursop 红毛榴莲 </v>
      </c>
      <c r="E18" s="487"/>
      <c r="F18" s="487"/>
      <c r="G18" s="17">
        <v>4</v>
      </c>
      <c r="H18" s="186" t="str">
        <f>VLOOKUP(C18,'Sales Master'!$B$3:$F$2420,5,0)</f>
        <v>GW:5 KG/ Pkt包</v>
      </c>
      <c r="I18" s="484" t="str">
        <f>VLOOKUP(C18,'Sales Master'!$B$3:$E$2420,4,0)</f>
        <v>DO!</v>
      </c>
      <c r="J18" s="484"/>
      <c r="K18" s="30">
        <f>VLOOKUP(C18,'Sales Master'!B$3:$Z$537,25,0)</f>
        <v>34</v>
      </c>
      <c r="L18" s="64">
        <f>K18*G18</f>
        <v>136</v>
      </c>
      <c r="M18" s="65"/>
      <c r="N18" s="145">
        <f>VLOOKUP(C18,'Sales Master'!$B$3:$DA$2279,104,0)</f>
        <v>24.39</v>
      </c>
      <c r="O18" s="145">
        <f>K18-N18</f>
        <v>9.61</v>
      </c>
      <c r="P18" s="145">
        <f>O18*G18</f>
        <v>38.44</v>
      </c>
    </row>
    <row r="19" spans="2:16" ht="20.149999999999999" customHeight="1" x14ac:dyDescent="0.45">
      <c r="B19" s="364"/>
      <c r="C19" s="212" t="s">
        <v>929</v>
      </c>
      <c r="D19" s="487" t="str">
        <f>VLOOKUP(C19,'Sales Master'!B$3:D$537,2,)</f>
        <v>Aloe Vera 芦荟 10mm</v>
      </c>
      <c r="E19" s="487"/>
      <c r="F19" s="487"/>
      <c r="G19" s="17">
        <v>1</v>
      </c>
      <c r="H19" s="186" t="str">
        <f>VLOOKUP(C19,'Sales Master'!$B$3:$F$2420,5,0)</f>
        <v>1 Can X A10</v>
      </c>
      <c r="I19" s="484" t="str">
        <f>VLOOKUP(C19,'Sales Master'!$B$3:$E$2420,4,0)</f>
        <v>Chefs</v>
      </c>
      <c r="J19" s="484"/>
      <c r="K19" s="30">
        <f>VLOOKUP(C19,'Sales Master'!B$3:$Z$537,25,0)</f>
        <v>10</v>
      </c>
      <c r="L19" s="64">
        <f>K19*G19</f>
        <v>10</v>
      </c>
      <c r="M19" s="65"/>
      <c r="N19" s="145">
        <f>VLOOKUP(C19,'Sales Master'!$B$3:$DA$2279,104,0)</f>
        <v>7</v>
      </c>
      <c r="O19" s="145">
        <f>K19-N19</f>
        <v>3</v>
      </c>
      <c r="P19" s="145">
        <f>O19*G19</f>
        <v>3</v>
      </c>
    </row>
    <row r="20" spans="2:16" ht="20.149999999999999" customHeight="1" x14ac:dyDescent="0.45">
      <c r="B20" s="58"/>
      <c r="C20" s="212" t="s">
        <v>967</v>
      </c>
      <c r="D20" s="487" t="str">
        <f>VLOOKUP(C20,'Sales Master'!B$3:D$537,2,)</f>
        <v>Coconut Milk 椰浆小</v>
      </c>
      <c r="E20" s="487"/>
      <c r="F20" s="487"/>
      <c r="G20" s="17">
        <v>1</v>
      </c>
      <c r="H20" s="186" t="str">
        <f>VLOOKUP(C20,'Sales Master'!$B$3:$F$2420,5,0)</f>
        <v>(200gm x 30bag)/箱</v>
      </c>
      <c r="I20" s="484" t="str">
        <f>VLOOKUP(C20,'Sales Master'!$B$3:$E$2420,4,0)</f>
        <v>Kara UHT</v>
      </c>
      <c r="J20" s="484"/>
      <c r="K20" s="30">
        <f>VLOOKUP(C20,'Sales Master'!B$3:$Z$537,25,0)</f>
        <v>26</v>
      </c>
      <c r="L20" s="64">
        <f>K20*G20</f>
        <v>26</v>
      </c>
      <c r="M20" s="65"/>
      <c r="N20" s="145">
        <f>VLOOKUP(C20,'Sales Master'!$B$3:$DA$2279,104,0)</f>
        <v>21.5</v>
      </c>
      <c r="O20" s="145">
        <f>K20-N20</f>
        <v>4.5</v>
      </c>
      <c r="P20" s="145">
        <f>O20*G20</f>
        <v>4.5</v>
      </c>
    </row>
    <row r="21" spans="2:16" ht="20.149999999999999" customHeight="1" x14ac:dyDescent="0.45">
      <c r="B21" s="58"/>
      <c r="C21" s="212" t="s">
        <v>990</v>
      </c>
      <c r="D21" s="487" t="str">
        <f>VLOOKUP(C21,'Sales Master'!B$3:D$537,2,)</f>
        <v>Fine Sugar 白糖</v>
      </c>
      <c r="E21" s="487"/>
      <c r="F21" s="487"/>
      <c r="G21" s="17">
        <v>2</v>
      </c>
      <c r="H21" s="186" t="str">
        <f>VLOOKUP(C21,'Sales Master'!$B$3:$F$2420,5,0)</f>
        <v>25 KGS</v>
      </c>
      <c r="I21" s="484" t="str">
        <f>VLOOKUP(C21,'Sales Master'!$B$3:$E$2420,4,0)</f>
        <v>MITR PHOL/ 蜜朋</v>
      </c>
      <c r="J21" s="484"/>
      <c r="K21" s="30">
        <f>VLOOKUP(C21,'Sales Master'!B$3:$Z$537,25,0)</f>
        <v>31.5</v>
      </c>
      <c r="L21" s="64">
        <f>K21*G21</f>
        <v>63</v>
      </c>
      <c r="M21" s="65"/>
      <c r="N21" s="145">
        <f>VLOOKUP(C21,'Sales Master'!$B$3:$DA$2279,104,0)</f>
        <v>24.5</v>
      </c>
      <c r="O21" s="145">
        <f>K21-N21</f>
        <v>7</v>
      </c>
      <c r="P21" s="145">
        <f>O21*G21</f>
        <v>14</v>
      </c>
    </row>
    <row r="22" spans="2:16" ht="20.149999999999999" customHeight="1" x14ac:dyDescent="0.45">
      <c r="B22" s="58"/>
      <c r="C22" s="212"/>
      <c r="D22" s="487"/>
      <c r="E22" s="487"/>
      <c r="F22" s="487"/>
      <c r="G22" s="17"/>
      <c r="H22" s="186"/>
      <c r="I22" s="484"/>
      <c r="J22" s="484"/>
      <c r="K22" s="525"/>
      <c r="L22" s="526"/>
      <c r="M22" s="65"/>
      <c r="N22" s="145"/>
      <c r="O22" s="145"/>
      <c r="P22" s="145"/>
    </row>
    <row r="23" spans="2:16" ht="20.149999999999999" customHeight="1" x14ac:dyDescent="0.45">
      <c r="B23" s="58"/>
      <c r="G23" s="17"/>
      <c r="H23" s="186"/>
      <c r="I23" s="186"/>
      <c r="J23" s="186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58"/>
      <c r="C24" s="153"/>
      <c r="G24" s="76"/>
      <c r="H24" s="211"/>
      <c r="I24" s="513"/>
      <c r="J24" s="513"/>
      <c r="K24" s="83"/>
      <c r="L24" s="64"/>
      <c r="M24" s="65"/>
    </row>
    <row r="25" spans="2:16" ht="20.149999999999999" customHeight="1" x14ac:dyDescent="0.45">
      <c r="B25" s="58"/>
      <c r="C25" s="212"/>
      <c r="D25" s="487"/>
      <c r="E25" s="487"/>
      <c r="F25" s="487"/>
      <c r="G25" s="76"/>
      <c r="H25" s="211"/>
      <c r="I25" s="513"/>
      <c r="J25" s="513"/>
      <c r="K25" s="83"/>
      <c r="L25" s="64"/>
      <c r="M25" s="65"/>
    </row>
    <row r="26" spans="2:16" ht="20.149999999999999" customHeight="1" x14ac:dyDescent="0.45">
      <c r="B26" s="58"/>
      <c r="L26" s="64"/>
      <c r="M26" s="65"/>
    </row>
    <row r="27" spans="2:16" ht="20.149999999999999" customHeight="1" x14ac:dyDescent="0.45">
      <c r="B27" s="58"/>
      <c r="L27" s="64"/>
      <c r="M27" s="65"/>
    </row>
    <row r="28" spans="2:16" ht="20.149999999999999" customHeight="1" x14ac:dyDescent="0.45">
      <c r="B28" s="58"/>
      <c r="C28" s="17"/>
      <c r="D28" s="446"/>
      <c r="E28" s="446"/>
      <c r="F28" s="446"/>
      <c r="G28" s="76"/>
      <c r="H28" s="82"/>
      <c r="I28" s="447"/>
      <c r="J28" s="447"/>
      <c r="K28" s="150"/>
      <c r="L28" s="64"/>
      <c r="M28" s="65"/>
    </row>
    <row r="29" spans="2:16" ht="20.149999999999999" customHeight="1" thickBot="1" x14ac:dyDescent="0.5">
      <c r="B29" s="32"/>
      <c r="C29" s="33"/>
      <c r="D29" s="488"/>
      <c r="E29" s="488"/>
      <c r="F29" s="488"/>
      <c r="G29" s="33"/>
      <c r="H29" s="57"/>
      <c r="I29" s="459"/>
      <c r="J29" s="459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89" t="s">
        <v>13</v>
      </c>
      <c r="K31" s="490"/>
      <c r="L31" s="38">
        <f>SUM(L17:L28)</f>
        <v>235</v>
      </c>
      <c r="M31" s="63">
        <f>SUM(P18:P29)</f>
        <v>59.94</v>
      </c>
      <c r="N31" s="133">
        <f>M31/L31</f>
        <v>0.25506382978723402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91" t="s">
        <v>19</v>
      </c>
      <c r="K33" s="492"/>
      <c r="L33" s="41">
        <f>L31-L32</f>
        <v>235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21.15</v>
      </c>
    </row>
    <row r="35" spans="2:12" ht="20.149999999999999" customHeight="1" thickBot="1" x14ac:dyDescent="0.5">
      <c r="B35" s="10" t="s">
        <v>676</v>
      </c>
      <c r="C35" s="6"/>
      <c r="D35" s="6"/>
      <c r="E35" s="6"/>
      <c r="F35" s="6"/>
      <c r="G35" s="6"/>
      <c r="H35" s="6"/>
      <c r="I35" s="6"/>
      <c r="J35" s="485" t="s">
        <v>21</v>
      </c>
      <c r="K35" s="486"/>
      <c r="L35" s="43">
        <f>L33+L34</f>
        <v>256.14999999999998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666</v>
      </c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3">
    <mergeCell ref="J35:K35"/>
    <mergeCell ref="D29:F29"/>
    <mergeCell ref="I29:J29"/>
    <mergeCell ref="J31:K31"/>
    <mergeCell ref="J33:K33"/>
    <mergeCell ref="D28:F28"/>
    <mergeCell ref="I28:J28"/>
    <mergeCell ref="D20:F20"/>
    <mergeCell ref="I20:J20"/>
    <mergeCell ref="K22:L22"/>
    <mergeCell ref="I24:J24"/>
    <mergeCell ref="D25:F25"/>
    <mergeCell ref="I25:J25"/>
    <mergeCell ref="D22:F22"/>
    <mergeCell ref="I22:J22"/>
    <mergeCell ref="D21:F21"/>
    <mergeCell ref="I21:J21"/>
    <mergeCell ref="I19:J19"/>
    <mergeCell ref="B13:D15"/>
    <mergeCell ref="B1:L8"/>
    <mergeCell ref="K10:L10"/>
    <mergeCell ref="B11:D11"/>
    <mergeCell ref="F11:H15"/>
    <mergeCell ref="K11:L11"/>
    <mergeCell ref="K12:L12"/>
    <mergeCell ref="K13:L13"/>
    <mergeCell ref="K14:L14"/>
    <mergeCell ref="K15:L15"/>
    <mergeCell ref="D17:F17"/>
    <mergeCell ref="I17:J17"/>
    <mergeCell ref="D18:F18"/>
    <mergeCell ref="I18:J18"/>
    <mergeCell ref="D19:F19"/>
  </mergeCells>
  <conditionalFormatting sqref="C24">
    <cfRule type="duplicateValues" dxfId="246" priority="1"/>
  </conditionalFormatting>
  <pageMargins left="0.70866141732283472" right="0.31496062992125984" top="0.23622047244094491" bottom="0" header="0.31496062992125984" footer="0.31496062992125984"/>
  <pageSetup paperSize="9" scale="73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DC78A-B117-49F9-964D-EC1200DEF849}">
  <sheetPr codeName="Sheet124">
    <tabColor rgb="FFFFC000"/>
    <pageSetUpPr fitToPage="1"/>
  </sheetPr>
  <dimension ref="B1:P1048564"/>
  <sheetViews>
    <sheetView topLeftCell="B23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1796875" style="19" customWidth="1"/>
    <col min="7" max="7" width="8.54296875" style="19" customWidth="1"/>
    <col min="8" max="8" width="17.81640625" style="19" customWidth="1"/>
    <col min="9" max="9" width="1.7265625" style="19" customWidth="1"/>
    <col min="10" max="10" width="13.45312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119</v>
      </c>
      <c r="J10" s="24" t="s">
        <v>27</v>
      </c>
      <c r="K10" s="464">
        <v>202504247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 - Dim Sum                                                     Block 500, Toa Payoh Centre. Lorong 6     #02-30  Singapore 310500                                                                </v>
      </c>
      <c r="G11" s="470"/>
      <c r="H11" s="471"/>
      <c r="J11" s="26" t="s">
        <v>9</v>
      </c>
      <c r="K11" s="478">
        <v>45757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417"/>
      <c r="O17" s="417"/>
      <c r="P17" s="417"/>
    </row>
    <row r="18" spans="2:16" ht="20.149999999999999" customHeight="1" x14ac:dyDescent="0.45">
      <c r="B18" s="29"/>
      <c r="C18" s="212" t="s">
        <v>775</v>
      </c>
      <c r="D18" s="498" t="str">
        <f>VLOOKUP(C18,'Sales Master'!B$3:D$537,2,)</f>
        <v>Sweet Potato Powder 番薯粉</v>
      </c>
      <c r="E18" s="498"/>
      <c r="F18" s="498"/>
      <c r="G18" s="17">
        <v>3</v>
      </c>
      <c r="H18" s="186" t="str">
        <f>VLOOKUP(C18,'Sales Master'!$B$3:$F$2488,5,0)</f>
        <v>3 kgs</v>
      </c>
      <c r="I18" s="484" t="str">
        <f>VLOOKUP(C18,'Sales Master'!$B$3:$E$2488,4,0)</f>
        <v>RE-PACK</v>
      </c>
      <c r="J18" s="484"/>
      <c r="K18" s="30">
        <f>VLOOKUP(C18,'Sales Master'!B$3:J$537,9,0)</f>
        <v>10.5</v>
      </c>
      <c r="L18" s="64">
        <f t="shared" ref="L18" si="0">K18*G18</f>
        <v>31.5</v>
      </c>
      <c r="M18" s="65"/>
      <c r="N18" s="418"/>
      <c r="O18" s="418"/>
      <c r="P18" s="418"/>
    </row>
    <row r="19" spans="2:16" ht="20.149999999999999" customHeight="1" x14ac:dyDescent="0.45">
      <c r="B19" s="29"/>
      <c r="C19" s="212" t="s">
        <v>966</v>
      </c>
      <c r="D19" s="487" t="str">
        <f>VLOOKUP(C19,'Sales Master'!B$3:D$537,2,)</f>
        <v>Coconut Milk 椰浆</v>
      </c>
      <c r="E19" s="487"/>
      <c r="F19" s="487"/>
      <c r="G19" s="17">
        <v>5</v>
      </c>
      <c r="H19" s="186" t="str">
        <f>VLOOKUP(C19,'Sales Master'!$B$3:$F$2488,5,0)</f>
        <v>(1L x 12bag)/箱</v>
      </c>
      <c r="I19" s="484" t="str">
        <f>VLOOKUP(C19,'Sales Master'!$B$3:$E$2488,4,0)</f>
        <v>Kara UHT</v>
      </c>
      <c r="J19" s="484"/>
      <c r="K19" s="30">
        <f>VLOOKUP(C19,'Sales Master'!B$3:J$537,9,0)</f>
        <v>54</v>
      </c>
      <c r="L19" s="64">
        <f>K19*G19</f>
        <v>270</v>
      </c>
      <c r="M19" s="65"/>
      <c r="N19" s="418"/>
      <c r="O19" s="418"/>
      <c r="P19" s="418"/>
    </row>
    <row r="20" spans="2:16" ht="20.149999999999999" customHeight="1" x14ac:dyDescent="0.45">
      <c r="B20" s="29"/>
      <c r="C20" s="212" t="s">
        <v>987</v>
      </c>
      <c r="D20" s="487" t="str">
        <f>VLOOKUP(C20,'Sales Master'!B$3:D$537,2,)</f>
        <v>Brown Sugar 黑糖</v>
      </c>
      <c r="E20" s="487"/>
      <c r="F20" s="487"/>
      <c r="G20" s="17">
        <v>2</v>
      </c>
      <c r="H20" s="186" t="str">
        <f>VLOOKUP(C20,'Sales Master'!$B$3:$F$2488,5,0)</f>
        <v>6 KG</v>
      </c>
      <c r="I20" s="484" t="str">
        <f>VLOOKUP(C20,'Sales Master'!$B$3:$E$2488,4,0)</f>
        <v>Star</v>
      </c>
      <c r="J20" s="484"/>
      <c r="K20" s="30">
        <f>VLOOKUP(C20,'Sales Master'!B$3:J$537,9,0)</f>
        <v>15</v>
      </c>
      <c r="L20" s="64">
        <f>K20*G20</f>
        <v>30</v>
      </c>
      <c r="M20" s="65"/>
      <c r="N20" s="418"/>
      <c r="O20" s="418"/>
      <c r="P20" s="418"/>
    </row>
    <row r="21" spans="2:16" ht="20.149999999999999" customHeight="1" x14ac:dyDescent="0.45">
      <c r="B21" s="29"/>
      <c r="C21" s="212" t="s">
        <v>1009</v>
      </c>
      <c r="D21" s="487" t="str">
        <f>VLOOKUP(C21,'Sales Master'!B$3:D$537,2,)</f>
        <v>Pandan Leaf 班兰叶</v>
      </c>
      <c r="E21" s="487"/>
      <c r="F21" s="487"/>
      <c r="G21" s="17">
        <v>2</v>
      </c>
      <c r="H21" s="186" t="str">
        <f>VLOOKUP(C21,'Sales Master'!$B$3:$F$2488,5,0)</f>
        <v>1 KG</v>
      </c>
      <c r="I21" s="484" t="str">
        <f>VLOOKUP(C21,'Sales Master'!$B$3:$E$2488,4,0)</f>
        <v>-</v>
      </c>
      <c r="J21" s="484"/>
      <c r="K21" s="30">
        <f>VLOOKUP(C21,'Sales Master'!B$3:J$537,9,0)</f>
        <v>1.8</v>
      </c>
      <c r="L21" s="64">
        <f>K21*G21</f>
        <v>3.6</v>
      </c>
      <c r="M21" s="65"/>
      <c r="N21" s="418"/>
      <c r="O21" s="418"/>
      <c r="P21" s="418"/>
    </row>
    <row r="22" spans="2:16" ht="20.149999999999999" customHeight="1" x14ac:dyDescent="0.45">
      <c r="B22" s="29"/>
      <c r="C22" s="212"/>
      <c r="D22" s="487"/>
      <c r="E22" s="487"/>
      <c r="F22" s="487"/>
      <c r="G22" s="17"/>
      <c r="H22" s="186"/>
      <c r="I22" s="484"/>
      <c r="J22" s="484"/>
      <c r="K22" s="30"/>
      <c r="L22" s="64"/>
      <c r="M22" s="65"/>
      <c r="N22" s="418"/>
      <c r="O22" s="418"/>
      <c r="P22" s="418"/>
    </row>
    <row r="23" spans="2:16" ht="20.149999999999999" customHeight="1" x14ac:dyDescent="0.45">
      <c r="B23" s="29"/>
      <c r="C23" s="212"/>
      <c r="D23" s="487"/>
      <c r="E23" s="487"/>
      <c r="F23" s="487"/>
      <c r="G23" s="17"/>
      <c r="H23" s="186"/>
      <c r="I23" s="484"/>
      <c r="J23" s="484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D24" s="487"/>
      <c r="E24" s="487"/>
      <c r="F24" s="487"/>
      <c r="G24" s="17"/>
      <c r="H24" s="186"/>
      <c r="I24" s="484"/>
      <c r="J24" s="484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G25" s="17"/>
      <c r="H25" s="56"/>
      <c r="I25" s="458"/>
      <c r="J25" s="458"/>
      <c r="K25" s="30"/>
      <c r="L25" s="64"/>
      <c r="M25" s="65"/>
    </row>
    <row r="26" spans="2:16" ht="20.149999999999999" customHeight="1" x14ac:dyDescent="0.45">
      <c r="B26" s="29"/>
      <c r="C26" s="149" t="s">
        <v>2271</v>
      </c>
      <c r="D26" s="403"/>
      <c r="E26" s="403"/>
      <c r="F26" s="403"/>
      <c r="G26" s="76"/>
      <c r="H26" s="186"/>
      <c r="I26" s="484"/>
      <c r="J26" s="484"/>
      <c r="K26" s="190"/>
      <c r="L26" s="64"/>
      <c r="M26" s="65"/>
    </row>
    <row r="27" spans="2:16" ht="20.149999999999999" customHeight="1" x14ac:dyDescent="0.45">
      <c r="B27" s="29"/>
      <c r="C27" s="212" t="s">
        <v>966</v>
      </c>
      <c r="D27" s="493" t="e">
        <f>VLOOKUP(C27,#REF!,2,0)</f>
        <v>#REF!</v>
      </c>
      <c r="E27" s="493"/>
      <c r="F27" s="493"/>
      <c r="G27" s="17">
        <v>1</v>
      </c>
      <c r="H27" s="186" t="e">
        <f>VLOOKUP(C27,#REF!,5,0)</f>
        <v>#REF!</v>
      </c>
      <c r="I27" s="484" t="e">
        <f>VLOOKUP(C27,#REF!,4,0)</f>
        <v>#REF!</v>
      </c>
      <c r="J27" s="484"/>
      <c r="K27" s="190">
        <v>48</v>
      </c>
      <c r="L27" s="64"/>
      <c r="M27" s="65"/>
    </row>
    <row r="28" spans="2:16" ht="20.149999999999999" customHeight="1" x14ac:dyDescent="0.45">
      <c r="B28" s="29"/>
      <c r="C28" s="17"/>
      <c r="D28" s="487"/>
      <c r="E28" s="487"/>
      <c r="F28" s="487"/>
      <c r="G28" s="17"/>
      <c r="H28" s="56"/>
      <c r="I28" s="458"/>
      <c r="J28" s="458"/>
      <c r="K28" s="30"/>
      <c r="L28" s="31"/>
    </row>
    <row r="29" spans="2:16" ht="20.149999999999999" customHeight="1" thickBot="1" x14ac:dyDescent="0.5">
      <c r="B29" s="32"/>
      <c r="C29" s="33"/>
      <c r="D29" s="488"/>
      <c r="E29" s="488"/>
      <c r="F29" s="488"/>
      <c r="G29" s="33"/>
      <c r="H29" s="57"/>
      <c r="I29" s="459"/>
      <c r="J29" s="459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89" t="s">
        <v>13</v>
      </c>
      <c r="K31" s="490"/>
      <c r="L31" s="38">
        <f>SUM(L18:L30)</f>
        <v>335.1</v>
      </c>
      <c r="M31" s="63">
        <f>SUM(P18:P30)-L31*0.02</f>
        <v>-6.7020000000000008</v>
      </c>
      <c r="N31" s="133">
        <f>M31/L31</f>
        <v>-0.02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91" t="s">
        <v>19</v>
      </c>
      <c r="K33" s="492"/>
      <c r="L33" s="41">
        <f>L31-L32</f>
        <v>335.1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30.159000000000002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85" t="s">
        <v>21</v>
      </c>
      <c r="K35" s="486"/>
      <c r="L35" s="43">
        <f>L33+L34</f>
        <v>365.25900000000001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1048564" spans="8:16" x14ac:dyDescent="0.45">
      <c r="H1048564" s="186" t="e">
        <f>VLOOKUP(C1048564,'Sales Master'!$B$3:$F$2488,5,0)</f>
        <v>#N/A</v>
      </c>
      <c r="I1048564" s="519" t="e">
        <f>VLOOKUP(C1048564,'Sales Master'!$B$3:$E$2488,4,0)</f>
        <v>#N/A</v>
      </c>
      <c r="J1048564" s="519"/>
      <c r="K1048564" s="30" t="e">
        <f>VLOOKUP(C1048564,'Sales Master'!B$3:J$537,9,0)</f>
        <v>#N/A</v>
      </c>
      <c r="L1048564" s="64" t="e">
        <f>K1048564*G1048564</f>
        <v>#N/A</v>
      </c>
      <c r="M1048564" s="65"/>
      <c r="N1048564" s="145" t="e">
        <f>VLOOKUP(C1048564,'Sales Master'!$B$3:$DA$2279,104,0)</f>
        <v>#N/A</v>
      </c>
      <c r="O1048564" s="145" t="e">
        <f>K1048564-N1048564</f>
        <v>#N/A</v>
      </c>
      <c r="P1048564" s="145" t="e">
        <f>O1048564*G1048564</f>
        <v>#N/A</v>
      </c>
    </row>
  </sheetData>
  <mergeCells count="41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I1048564:J1048564"/>
    <mergeCell ref="B1:L8"/>
    <mergeCell ref="J31:K31"/>
    <mergeCell ref="J33:K33"/>
    <mergeCell ref="J35:K35"/>
    <mergeCell ref="D27:F27"/>
    <mergeCell ref="I27:J27"/>
    <mergeCell ref="D28:F28"/>
    <mergeCell ref="I28:J28"/>
    <mergeCell ref="D29:F29"/>
    <mergeCell ref="I29:J29"/>
    <mergeCell ref="I25:J25"/>
    <mergeCell ref="I26:J26"/>
    <mergeCell ref="D18:F18"/>
    <mergeCell ref="I18:J18"/>
    <mergeCell ref="D23:F23"/>
    <mergeCell ref="D17:F17"/>
    <mergeCell ref="I17:J17"/>
    <mergeCell ref="D24:F24"/>
    <mergeCell ref="I24:J24"/>
    <mergeCell ref="I20:J20"/>
    <mergeCell ref="I23:J23"/>
    <mergeCell ref="D21:F21"/>
    <mergeCell ref="I21:J21"/>
    <mergeCell ref="D19:F19"/>
    <mergeCell ref="D22:F22"/>
    <mergeCell ref="I22:J22"/>
    <mergeCell ref="I19:J19"/>
    <mergeCell ref="D20:F20"/>
  </mergeCells>
  <conditionalFormatting sqref="C26">
    <cfRule type="duplicateValues" dxfId="245" priority="1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25AB0-374A-4C71-A571-466E4426A235}">
  <sheetPr codeName="Sheet125">
    <tabColor rgb="FFFFC000"/>
    <pageSetUpPr fitToPage="1"/>
  </sheetPr>
  <dimension ref="B1:V44"/>
  <sheetViews>
    <sheetView topLeftCell="A26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" style="19" customWidth="1"/>
    <col min="7" max="7" width="8.54296875" style="19" customWidth="1"/>
    <col min="8" max="8" width="15.54296875" style="19" customWidth="1"/>
    <col min="9" max="9" width="4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120</v>
      </c>
      <c r="J10" s="24" t="s">
        <v>27</v>
      </c>
      <c r="K10" s="464">
        <v>202504248</v>
      </c>
      <c r="L10" s="465"/>
    </row>
    <row r="11" spans="2:14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Koufu- Dessert                                                         Block 500, Toa Payoh Centre. Lorong 6     #02-30   Singapore 310500                                         </v>
      </c>
      <c r="G11" s="470"/>
      <c r="H11" s="471"/>
      <c r="J11" s="26" t="s">
        <v>9</v>
      </c>
      <c r="K11" s="478">
        <v>45757</v>
      </c>
      <c r="L11" s="479"/>
    </row>
    <row r="12" spans="2:14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M12" s="93"/>
      <c r="N12" s="93"/>
    </row>
    <row r="13" spans="2:14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4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.149999999999999" customHeight="1" x14ac:dyDescent="0.45">
      <c r="B18" s="29"/>
      <c r="C18" s="212" t="s">
        <v>712</v>
      </c>
      <c r="D18" s="487" t="str">
        <f>VLOOKUP(C18,'Sales Master'!B$3:D$537,2,)</f>
        <v>Bobo ChaCha Cubes 摩摩喳喳</v>
      </c>
      <c r="E18" s="487"/>
      <c r="F18" s="487"/>
      <c r="G18" s="76">
        <v>2</v>
      </c>
      <c r="H18" s="186" t="str">
        <f>VLOOKUP(C18,'Sales Master'!$B$3:$F$2488,5,0)</f>
        <v>800 GM/ Bag包</v>
      </c>
      <c r="I18" s="484" t="str">
        <f>VLOOKUP(C18,'Sales Master'!$B$3:$E$2488,4,0)</f>
        <v>DO!</v>
      </c>
      <c r="J18" s="484"/>
      <c r="K18" s="30">
        <f>VLOOKUP(C18,'Sales Master'!B$3:J$537,9,0)</f>
        <v>6</v>
      </c>
      <c r="L18" s="64">
        <f t="shared" ref="L18" si="0">K18*G18</f>
        <v>12</v>
      </c>
      <c r="M18" s="65"/>
    </row>
    <row r="19" spans="2:22" ht="20.149999999999999" customHeight="1" x14ac:dyDescent="0.45">
      <c r="B19" s="29"/>
      <c r="C19" s="212" t="s">
        <v>846</v>
      </c>
      <c r="D19" s="487" t="str">
        <f>VLOOKUP(C19,'Sales Master'!B$3:D$537,2,)</f>
        <v>Pearl Barley 薏米</v>
      </c>
      <c r="E19" s="487"/>
      <c r="F19" s="487"/>
      <c r="G19" s="76">
        <v>2</v>
      </c>
      <c r="H19" s="186" t="str">
        <f>VLOOKUP(C19,'Sales Master'!$B$3:$F$2488,5,0)</f>
        <v>5 KG</v>
      </c>
      <c r="I19" s="484" t="str">
        <f>VLOOKUP(C19,'Sales Master'!$B$3:$E$2488,4,0)</f>
        <v>-</v>
      </c>
      <c r="J19" s="484"/>
      <c r="K19" s="30">
        <f>VLOOKUP(C19,'Sales Master'!B$3:J$537,9,0)</f>
        <v>10</v>
      </c>
      <c r="L19" s="64">
        <f>K19*G19</f>
        <v>20</v>
      </c>
      <c r="M19" s="65"/>
    </row>
    <row r="20" spans="2:22" ht="20.149999999999999" customHeight="1" x14ac:dyDescent="0.45">
      <c r="B20" s="29"/>
      <c r="C20" s="212" t="s">
        <v>853</v>
      </c>
      <c r="D20" s="487" t="str">
        <f>VLOOKUP(C20,'Sales Master'!B$3:D$537,2,)</f>
        <v>Small Sago 小丸</v>
      </c>
      <c r="E20" s="487"/>
      <c r="F20" s="487"/>
      <c r="G20" s="76">
        <v>2</v>
      </c>
      <c r="H20" s="186" t="str">
        <f>VLOOKUP(C20,'Sales Master'!$B$3:$F$2488,5,0)</f>
        <v>5 KG</v>
      </c>
      <c r="I20" s="484" t="str">
        <f>VLOOKUP(C20,'Sales Master'!$B$3:$E$2488,4,0)</f>
        <v>-</v>
      </c>
      <c r="J20" s="484"/>
      <c r="K20" s="30">
        <f>VLOOKUP(C20,'Sales Master'!B$3:J$537,9,0)</f>
        <v>10</v>
      </c>
      <c r="L20" s="64">
        <f>K20*G20</f>
        <v>20</v>
      </c>
      <c r="M20" s="65"/>
    </row>
    <row r="21" spans="2:22" ht="20.149999999999999" customHeight="1" x14ac:dyDescent="0.45">
      <c r="B21" s="29"/>
      <c r="C21" s="212" t="s">
        <v>863</v>
      </c>
      <c r="D21" s="487" t="str">
        <f>VLOOKUP(C21,'Sales Master'!B$3:D$537,2,)</f>
        <v>Lotus Seed 莲子(无）</v>
      </c>
      <c r="E21" s="487"/>
      <c r="F21" s="487"/>
      <c r="G21" s="76">
        <v>8</v>
      </c>
      <c r="H21" s="186" t="str">
        <f>VLOOKUP(C21,'Sales Master'!$B$3:$F$2488,5,0)</f>
        <v>1 kg</v>
      </c>
      <c r="I21" s="484" t="str">
        <f>VLOOKUP(C21,'Sales Master'!$B$3:$E$2488,4,0)</f>
        <v>中</v>
      </c>
      <c r="J21" s="484"/>
      <c r="K21" s="30">
        <f>VLOOKUP(C21,'Sales Master'!B$3:J$537,9,0)</f>
        <v>25</v>
      </c>
      <c r="L21" s="64">
        <f t="shared" ref="L21" si="1">K21*G21</f>
        <v>200</v>
      </c>
      <c r="M21" s="65"/>
    </row>
    <row r="22" spans="2:22" ht="20.149999999999999" customHeight="1" x14ac:dyDescent="0.45">
      <c r="B22" s="29"/>
      <c r="C22" s="212" t="s">
        <v>873</v>
      </c>
      <c r="D22" s="487" t="str">
        <f>VLOOKUP(C22,'Sales Master'!B$3:D$537,2,)</f>
        <v>Bean Curd Sheet 腐竹</v>
      </c>
      <c r="E22" s="487"/>
      <c r="F22" s="487"/>
      <c r="G22" s="76">
        <v>10</v>
      </c>
      <c r="H22" s="186" t="str">
        <f>VLOOKUP(C22,'Sales Master'!$B$3:$F$2488,5,0)</f>
        <v xml:space="preserve">150g/pkt </v>
      </c>
      <c r="I22" s="484" t="str">
        <f>VLOOKUP(C22,'Sales Master'!$B$3:$E$2488,4,0)</f>
        <v>丰</v>
      </c>
      <c r="J22" s="484"/>
      <c r="K22" s="30">
        <f>VLOOKUP(C22,'Sales Master'!B$3:J$537,9,0)</f>
        <v>2.4</v>
      </c>
      <c r="L22" s="64">
        <f>K22*G22</f>
        <v>24</v>
      </c>
      <c r="M22" s="65"/>
    </row>
    <row r="23" spans="2:22" ht="20.149999999999999" customHeight="1" x14ac:dyDescent="0.45">
      <c r="B23" s="29"/>
      <c r="C23" s="212" t="s">
        <v>930</v>
      </c>
      <c r="D23" s="487" t="str">
        <f>VLOOKUP(C23,'Sales Master'!B$3:D$537,2,)</f>
        <v>Longan in Syrup 龙眼</v>
      </c>
      <c r="E23" s="487"/>
      <c r="F23" s="487"/>
      <c r="G23" s="76">
        <v>2</v>
      </c>
      <c r="H23" s="186" t="str">
        <f>VLOOKUP(C23,'Sales Master'!$B$3:$F$2488,5,0)</f>
        <v>(565gm x 12)/ Ctn箱</v>
      </c>
      <c r="I23" s="484" t="str">
        <f>VLOOKUP(C23,'Sales Master'!$B$3:$E$2488,4,0)</f>
        <v>YiFong</v>
      </c>
      <c r="J23" s="484"/>
      <c r="K23" s="30">
        <f>VLOOKUP(C23,'Sales Master'!B$3:J$537,9,0)</f>
        <v>24</v>
      </c>
      <c r="L23" s="64">
        <f t="shared" ref="L23" si="2">K23*G23</f>
        <v>48</v>
      </c>
      <c r="M23" s="65"/>
    </row>
    <row r="24" spans="2:22" ht="20.149999999999999" customHeight="1" x14ac:dyDescent="0.45">
      <c r="B24" s="29"/>
      <c r="C24" s="212" t="s">
        <v>956</v>
      </c>
      <c r="D24" s="487" t="str">
        <f>VLOOKUP(C24,'Sales Master'!B$3:D$537,2,)</f>
        <v>GingKo Nut 白果罐</v>
      </c>
      <c r="E24" s="487"/>
      <c r="F24" s="487"/>
      <c r="G24" s="76">
        <v>1</v>
      </c>
      <c r="H24" s="186" t="str">
        <f>VLOOKUP(C24,'Sales Master'!$B$3:$F$2488,5,0)</f>
        <v>397 GM x 24/ Ctn箱</v>
      </c>
      <c r="I24" s="484" t="str">
        <f>VLOOKUP(C24,'Sales Master'!$B$3:$E$2488,4,0)</f>
        <v>Golden Champ</v>
      </c>
      <c r="J24" s="484"/>
      <c r="K24" s="30">
        <f>VLOOKUP(C24,'Sales Master'!B$3:J$537,9,0)</f>
        <v>32</v>
      </c>
      <c r="L24" s="64">
        <f>K24*G24</f>
        <v>32</v>
      </c>
      <c r="M24" s="65"/>
    </row>
    <row r="25" spans="2:22" ht="20.149999999999999" customHeight="1" x14ac:dyDescent="0.45">
      <c r="B25" s="29"/>
      <c r="C25" s="212" t="s">
        <v>1253</v>
      </c>
      <c r="D25" s="487" t="str">
        <f>VLOOKUP(C25,'Sales Master'!B$3:D$537,2,)</f>
        <v>Corn Cream 玉米浆</v>
      </c>
      <c r="E25" s="487"/>
      <c r="F25" s="487"/>
      <c r="G25" s="76">
        <v>1</v>
      </c>
      <c r="H25" s="186" t="str">
        <f>VLOOKUP(C25,'Sales Master'!$B$3:$F$2488,5,0)</f>
        <v>24 CAN/ Ctn</v>
      </c>
      <c r="I25" s="484" t="str">
        <f>VLOOKUP(C25,'Sales Master'!$B$3:$E$2488,4,0)</f>
        <v>Golden Boy</v>
      </c>
      <c r="J25" s="484"/>
      <c r="K25" s="30">
        <f>VLOOKUP(C25,'Sales Master'!B$3:J$537,9,0)</f>
        <v>20.5</v>
      </c>
      <c r="L25" s="64">
        <f>K25*G25</f>
        <v>20.5</v>
      </c>
      <c r="M25" s="65"/>
      <c r="S25" s="19" t="s">
        <v>334</v>
      </c>
      <c r="T25" s="19" t="s">
        <v>47</v>
      </c>
      <c r="V25" s="19">
        <v>7</v>
      </c>
    </row>
    <row r="26" spans="2:22" ht="20.149999999999999" customHeight="1" x14ac:dyDescent="0.45">
      <c r="B26" s="29"/>
      <c r="G26" s="76"/>
      <c r="H26" s="186"/>
      <c r="I26" s="208"/>
      <c r="J26" s="208"/>
      <c r="K26" s="30"/>
      <c r="L26" s="64"/>
      <c r="M26" s="65"/>
    </row>
    <row r="27" spans="2:22" ht="20.149999999999999" customHeight="1" x14ac:dyDescent="0.45">
      <c r="B27" s="29"/>
      <c r="C27" s="147"/>
      <c r="G27" s="17"/>
      <c r="H27" s="56"/>
      <c r="I27" s="85"/>
      <c r="J27" s="85"/>
      <c r="K27" s="30"/>
      <c r="L27" s="64"/>
      <c r="M27" s="65"/>
    </row>
    <row r="28" spans="2:22" ht="20.149999999999999" customHeight="1" x14ac:dyDescent="0.45">
      <c r="B28" s="29"/>
      <c r="C28" s="17"/>
      <c r="D28" s="487"/>
      <c r="E28" s="487"/>
      <c r="F28" s="487"/>
      <c r="G28" s="17"/>
      <c r="H28" s="56"/>
      <c r="I28" s="494"/>
      <c r="J28" s="494"/>
      <c r="K28" s="30"/>
      <c r="L28" s="64"/>
      <c r="M28" s="65"/>
    </row>
    <row r="29" spans="2:22" ht="20.149999999999999" customHeight="1" thickBot="1" x14ac:dyDescent="0.5">
      <c r="B29" s="32"/>
      <c r="C29" s="33"/>
      <c r="D29" s="488"/>
      <c r="E29" s="488"/>
      <c r="F29" s="488"/>
      <c r="G29" s="33"/>
      <c r="H29" s="57"/>
      <c r="I29" s="459"/>
      <c r="J29" s="459"/>
      <c r="K29" s="34"/>
      <c r="L29" s="3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89" t="s">
        <v>13</v>
      </c>
      <c r="K31" s="490"/>
      <c r="L31" s="38">
        <f>SUM(L18:L30)</f>
        <v>376.5</v>
      </c>
      <c r="M31" s="63">
        <f>SUM(P18:P30)-L31*0.02</f>
        <v>-7.53</v>
      </c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91" t="s">
        <v>19</v>
      </c>
      <c r="K33" s="492"/>
      <c r="L33" s="41">
        <f>L31-L32</f>
        <v>376.5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33.884999999999998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85" t="s">
        <v>21</v>
      </c>
      <c r="K35" s="486"/>
      <c r="L35" s="43">
        <f>L33+L34</f>
        <v>410.38499999999999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44" spans="2:12" ht="20.5" x14ac:dyDescent="0.45">
      <c r="F44" s="201"/>
    </row>
  </sheetData>
  <mergeCells count="38">
    <mergeCell ref="D18:F18"/>
    <mergeCell ref="I18:J18"/>
    <mergeCell ref="D22:F22"/>
    <mergeCell ref="D25:F25"/>
    <mergeCell ref="I25:J25"/>
    <mergeCell ref="I22:J22"/>
    <mergeCell ref="D24:F24"/>
    <mergeCell ref="I24:J24"/>
    <mergeCell ref="D20:F20"/>
    <mergeCell ref="I20:J20"/>
    <mergeCell ref="D19:F19"/>
    <mergeCell ref="I19:J19"/>
    <mergeCell ref="D21:F21"/>
    <mergeCell ref="I21:J21"/>
    <mergeCell ref="D23:F23"/>
    <mergeCell ref="I23:J23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35:K35"/>
    <mergeCell ref="D28:F28"/>
    <mergeCell ref="I28:J28"/>
    <mergeCell ref="D29:F29"/>
    <mergeCell ref="I29:J29"/>
    <mergeCell ref="J31:K31"/>
    <mergeCell ref="J33:K33"/>
  </mergeCells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D2426-940B-4ECA-A097-E8D244BE861B}">
  <sheetPr codeName="Sheet134">
    <tabColor rgb="FF7030A0"/>
    <pageSetUpPr fitToPage="1"/>
  </sheetPr>
  <dimension ref="B1:O42"/>
  <sheetViews>
    <sheetView topLeftCell="A19" workbookViewId="0">
      <selection activeCell="C25" sqref="C25:K2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26953125" style="19" customWidth="1"/>
    <col min="9" max="9" width="2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346">
        <v>0.09</v>
      </c>
    </row>
    <row r="2" spans="2:13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3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3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3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3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3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3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98</v>
      </c>
      <c r="J10" s="24" t="s">
        <v>27</v>
      </c>
      <c r="K10" s="464">
        <v>202301275</v>
      </c>
      <c r="L10" s="465"/>
    </row>
    <row r="11" spans="2:13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Koufu Rasapura Masters                    2, Bayfront Avenue #B2-49A/50A Singapore 018972                              (Dim Dum)</v>
      </c>
      <c r="G11" s="470"/>
      <c r="H11" s="471"/>
      <c r="J11" s="26" t="s">
        <v>9</v>
      </c>
      <c r="K11" s="478">
        <v>44942</v>
      </c>
      <c r="L11" s="479"/>
    </row>
    <row r="12" spans="2:13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1454</v>
      </c>
      <c r="L12" s="483"/>
    </row>
    <row r="13" spans="2:13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3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3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119" t="s">
        <v>587</v>
      </c>
      <c r="L15" s="118"/>
    </row>
    <row r="16" spans="2:13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212" t="s">
        <v>929</v>
      </c>
      <c r="D18" s="463" t="str">
        <f>VLOOKUP(C18,'Sales Master'!B$3:D$537,2,)</f>
        <v>Aloe Vera 芦荟 10mm</v>
      </c>
      <c r="E18" s="463"/>
      <c r="F18" s="463"/>
      <c r="G18" s="17">
        <v>18</v>
      </c>
      <c r="H18" s="186" t="str">
        <f>VLOOKUP(C18,'Sales Master'!$B$3:$F$2420,5,0)</f>
        <v>1 Can X A10</v>
      </c>
      <c r="I18" s="484" t="str">
        <f>VLOOKUP(C18,'Sales Master'!$B$3:$E$2420,4,0)</f>
        <v>Chefs</v>
      </c>
      <c r="J18" s="484"/>
      <c r="K18" s="30">
        <f>VLOOKUP(C18,'Sales Master'!$B$3:$J$537,9,0)</f>
        <v>10</v>
      </c>
      <c r="L18" s="92">
        <f>K18*G18</f>
        <v>180</v>
      </c>
    </row>
    <row r="19" spans="2:15" ht="20.149999999999999" customHeight="1" x14ac:dyDescent="0.45">
      <c r="B19" s="29"/>
      <c r="C19" s="212" t="s">
        <v>966</v>
      </c>
      <c r="D19" s="493" t="str">
        <f>VLOOKUP(C19,'Sales Master'!B$3:D$537,2,)</f>
        <v>Coconut Milk 椰浆</v>
      </c>
      <c r="E19" s="493"/>
      <c r="F19" s="493"/>
      <c r="G19" s="17">
        <v>5</v>
      </c>
      <c r="H19" s="186" t="str">
        <f>VLOOKUP(C19,'Sales Master'!$B$3:$F$2420,5,0)</f>
        <v>(1L x 12bag)/箱</v>
      </c>
      <c r="I19" s="484" t="str">
        <f>VLOOKUP(C19,'Sales Master'!$B$3:$E$2420,4,0)</f>
        <v>Kara UHT</v>
      </c>
      <c r="J19" s="484"/>
      <c r="K19" s="30">
        <f>VLOOKUP(C19,'Sales Master'!$B$3:$J$537,9,0)</f>
        <v>54</v>
      </c>
      <c r="L19" s="92">
        <f>K19*G19</f>
        <v>270</v>
      </c>
    </row>
    <row r="20" spans="2:15" ht="20.149999999999999" customHeight="1" x14ac:dyDescent="0.45">
      <c r="B20" s="29"/>
      <c r="C20" s="212" t="s">
        <v>712</v>
      </c>
      <c r="D20" s="493" t="str">
        <f>VLOOKUP(C20,'Sales Master'!B$3:D$537,2,)</f>
        <v>Bobo ChaCha Cubes 摩摩喳喳</v>
      </c>
      <c r="E20" s="493"/>
      <c r="F20" s="493"/>
      <c r="G20" s="17">
        <v>6</v>
      </c>
      <c r="H20" s="186" t="str">
        <f>VLOOKUP(C20,'Sales Master'!$B$3:$F$2420,5,0)</f>
        <v>800 GM/ Bag包</v>
      </c>
      <c r="I20" s="484" t="str">
        <f>VLOOKUP(C20,'Sales Master'!$B$3:$E$2420,4,0)</f>
        <v>DO!</v>
      </c>
      <c r="J20" s="484"/>
      <c r="K20" s="30">
        <f>VLOOKUP(C20,'Sales Master'!$B$3:$J$537,9,0)</f>
        <v>6</v>
      </c>
      <c r="L20" s="92">
        <f>K20*G20</f>
        <v>36</v>
      </c>
    </row>
    <row r="21" spans="2:15" ht="20.149999999999999" customHeight="1" x14ac:dyDescent="0.45">
      <c r="B21" s="29"/>
      <c r="C21" s="212" t="s">
        <v>856</v>
      </c>
      <c r="D21" s="493" t="str">
        <f>VLOOKUP(C21,'Sales Master'!B$3:D$537,2,)</f>
        <v>Dried Longan 龙眼干</v>
      </c>
      <c r="E21" s="493"/>
      <c r="F21" s="493"/>
      <c r="G21" s="17">
        <v>10</v>
      </c>
      <c r="H21" s="186" t="str">
        <f>VLOOKUP(C21,'Sales Master'!$B$3:$F$2420,5,0)</f>
        <v>1 kg/ Pkt包</v>
      </c>
      <c r="I21" s="484" t="str">
        <f>VLOOKUP(C21,'Sales Master'!$B$3:$E$2420,4,0)</f>
        <v>TL</v>
      </c>
      <c r="J21" s="484"/>
      <c r="K21" s="30">
        <f>VLOOKUP(C21,'Sales Master'!$B$3:$J$537,9,0)</f>
        <v>12</v>
      </c>
      <c r="L21" s="92">
        <f>K21*G21</f>
        <v>120</v>
      </c>
    </row>
    <row r="22" spans="2:15" ht="20.149999999999999" customHeight="1" x14ac:dyDescent="0.45">
      <c r="B22" s="29"/>
      <c r="C22" s="17"/>
      <c r="D22" s="493"/>
      <c r="E22" s="493"/>
      <c r="F22" s="493"/>
      <c r="G22" s="17"/>
      <c r="H22" s="56"/>
      <c r="I22" s="494"/>
      <c r="J22" s="494"/>
      <c r="K22" s="30"/>
      <c r="L22" s="31"/>
    </row>
    <row r="23" spans="2:15" ht="20.149999999999999" customHeight="1" x14ac:dyDescent="0.45">
      <c r="B23" s="29"/>
      <c r="C23" s="17"/>
      <c r="D23" s="487"/>
      <c r="E23" s="487"/>
      <c r="F23" s="487"/>
      <c r="G23" s="17"/>
      <c r="H23" s="56"/>
      <c r="I23" s="458"/>
      <c r="J23" s="458"/>
      <c r="K23" s="30"/>
      <c r="L23" s="31"/>
    </row>
    <row r="24" spans="2:15" ht="20.149999999999999" customHeight="1" x14ac:dyDescent="0.45">
      <c r="B24" s="29"/>
      <c r="C24" s="17"/>
      <c r="D24" s="487"/>
      <c r="E24" s="487"/>
      <c r="F24" s="487"/>
      <c r="G24" s="17"/>
      <c r="H24" s="56"/>
      <c r="I24" s="458"/>
      <c r="J24" s="458"/>
      <c r="K24" s="30"/>
      <c r="L24" s="31"/>
    </row>
    <row r="25" spans="2:15" ht="20.149999999999999" customHeight="1" x14ac:dyDescent="0.45">
      <c r="B25" s="29"/>
      <c r="C25" s="149" t="s">
        <v>2271</v>
      </c>
      <c r="D25" s="403"/>
      <c r="E25" s="403"/>
      <c r="F25" s="403"/>
      <c r="G25" s="76"/>
      <c r="H25" s="186"/>
      <c r="I25" s="484"/>
      <c r="J25" s="484"/>
      <c r="K25" s="190"/>
      <c r="L25" s="31"/>
    </row>
    <row r="26" spans="2:15" ht="20.149999999999999" customHeight="1" x14ac:dyDescent="0.45">
      <c r="B26" s="29"/>
      <c r="C26" s="212" t="s">
        <v>966</v>
      </c>
      <c r="D26" s="493" t="str">
        <f>VLOOKUP(C26,'Sales Master'!B$3:D$537,2,)</f>
        <v>Coconut Milk 椰浆</v>
      </c>
      <c r="E26" s="493"/>
      <c r="F26" s="493"/>
      <c r="G26" s="17">
        <v>1</v>
      </c>
      <c r="H26" s="186" t="str">
        <f>VLOOKUP(C26,'Sales Master'!$B$3:$F$2420,5,0)</f>
        <v>(1L x 12bag)/箱</v>
      </c>
      <c r="I26" s="484" t="str">
        <f>VLOOKUP(C26,'Sales Master'!$B$3:$E$2420,4,0)</f>
        <v>Kara UHT</v>
      </c>
      <c r="J26" s="484"/>
      <c r="K26" s="190">
        <v>48</v>
      </c>
      <c r="L26" s="31"/>
    </row>
    <row r="27" spans="2:15" ht="20.149999999999999" customHeight="1" x14ac:dyDescent="0.45">
      <c r="B27" s="29"/>
      <c r="C27" s="17"/>
      <c r="D27" s="487"/>
      <c r="E27" s="487"/>
      <c r="F27" s="487"/>
      <c r="G27" s="17"/>
      <c r="H27" s="17"/>
      <c r="I27" s="17"/>
      <c r="J27" s="17"/>
      <c r="K27" s="30"/>
      <c r="L27" s="31"/>
    </row>
    <row r="28" spans="2:15" ht="20.149999999999999" customHeight="1" thickBot="1" x14ac:dyDescent="0.5">
      <c r="B28" s="32"/>
      <c r="C28" s="33"/>
      <c r="D28" s="488"/>
      <c r="E28" s="488"/>
      <c r="F28" s="488"/>
      <c r="G28" s="33"/>
      <c r="H28" s="33"/>
      <c r="I28" s="33"/>
      <c r="J28" s="33"/>
      <c r="K28" s="34"/>
      <c r="L28" s="35"/>
    </row>
    <row r="29" spans="2:15" ht="20.149999999999999" customHeight="1" thickBot="1" x14ac:dyDescent="0.5">
      <c r="B29" s="36"/>
      <c r="L29" s="37"/>
    </row>
    <row r="30" spans="2:15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SUM(L17:L28)</f>
        <v>606</v>
      </c>
    </row>
    <row r="31" spans="2:15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5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606</v>
      </c>
      <c r="M32" s="63"/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54.54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660.54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6">
    <mergeCell ref="D19:F19"/>
    <mergeCell ref="I19:J19"/>
    <mergeCell ref="I25:J25"/>
    <mergeCell ref="I26:J26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6:F26"/>
    <mergeCell ref="J34:K34"/>
    <mergeCell ref="D27:F27"/>
    <mergeCell ref="D28:F28"/>
    <mergeCell ref="J30:K30"/>
    <mergeCell ref="J32:K32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K14:L14"/>
    <mergeCell ref="I18:J18"/>
    <mergeCell ref="B14:D14"/>
    <mergeCell ref="B15:D15"/>
  </mergeCells>
  <conditionalFormatting sqref="C25">
    <cfRule type="duplicateValues" dxfId="260" priority="1"/>
  </conditionalFormatting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5FD55-A6C1-416B-8C6C-A773342F4507}">
  <sheetPr codeName="Sheet96">
    <tabColor rgb="FF7030A0"/>
    <pageSetUpPr fitToPage="1"/>
  </sheetPr>
  <dimension ref="B1:V51"/>
  <sheetViews>
    <sheetView topLeftCell="B1" workbookViewId="0">
      <selection activeCell="B1" sqref="B1:L5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122</v>
      </c>
      <c r="J10" s="24" t="s">
        <v>27</v>
      </c>
      <c r="K10" s="464">
        <v>202103071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 - (Dim sum)                                 180, Ang Mo Kio Ave 8. Block A unit 235 Nanyang Polythenic Singapore 569830                                    </v>
      </c>
      <c r="G11" s="470"/>
      <c r="H11" s="471"/>
      <c r="J11" s="26" t="s">
        <v>9</v>
      </c>
      <c r="K11" s="500">
        <v>44259</v>
      </c>
      <c r="L11" s="483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28"/>
      <c r="O17" s="28"/>
    </row>
    <row r="18" spans="2:22" ht="20.149999999999999" customHeight="1" x14ac:dyDescent="0.45">
      <c r="B18" s="29"/>
      <c r="C18" s="17" t="s">
        <v>302</v>
      </c>
      <c r="D18" s="487" t="e">
        <f>VLOOKUP(C18,'Sales Master'!B$3:D$537,2,)</f>
        <v>#N/A</v>
      </c>
      <c r="E18" s="487"/>
      <c r="F18" s="487"/>
      <c r="G18" s="17">
        <v>2</v>
      </c>
      <c r="H18" s="56" t="e">
        <f>VLOOKUP(C18,'Sales Master'!$B$3:$F$2420,5,0)</f>
        <v>#N/A</v>
      </c>
      <c r="I18" s="494" t="e">
        <f>VLOOKUP(C18,'Sales Master'!$B$3:$E$2420,4,0)</f>
        <v>#N/A</v>
      </c>
      <c r="J18" s="494"/>
      <c r="K18" s="30" t="e">
        <f>VLOOKUP(C18,'Sales Master'!B$3:J$537,9,0)</f>
        <v>#N/A</v>
      </c>
      <c r="L18" s="64" t="e">
        <f>K18*G18</f>
        <v>#N/A</v>
      </c>
      <c r="M18" s="65"/>
      <c r="N18" s="19" t="s">
        <v>337</v>
      </c>
      <c r="O18" s="19" t="s">
        <v>214</v>
      </c>
      <c r="R18" s="19">
        <v>6</v>
      </c>
      <c r="S18" s="19" t="s">
        <v>54</v>
      </c>
      <c r="T18" s="19" t="s">
        <v>400</v>
      </c>
      <c r="V18" s="19">
        <v>6</v>
      </c>
    </row>
    <row r="19" spans="2:22" ht="20.149999999999999" customHeight="1" x14ac:dyDescent="0.45">
      <c r="B19" s="29"/>
      <c r="C19" s="17"/>
      <c r="D19" s="487"/>
      <c r="E19" s="487"/>
      <c r="F19" s="487"/>
      <c r="G19" s="17"/>
      <c r="H19" s="56"/>
      <c r="I19" s="494"/>
      <c r="J19" s="494"/>
      <c r="K19" s="30"/>
      <c r="L19" s="64"/>
      <c r="M19" s="65"/>
      <c r="N19" s="19" t="s">
        <v>290</v>
      </c>
      <c r="O19" s="19" t="s">
        <v>314</v>
      </c>
      <c r="R19" s="19">
        <v>10</v>
      </c>
      <c r="S19" s="19" t="s">
        <v>392</v>
      </c>
      <c r="T19" s="19" t="s">
        <v>32</v>
      </c>
      <c r="V19" s="19">
        <v>22</v>
      </c>
    </row>
    <row r="20" spans="2:22" ht="20.149999999999999" customHeight="1" x14ac:dyDescent="0.45">
      <c r="B20" s="29"/>
      <c r="C20" s="17"/>
      <c r="D20" s="487"/>
      <c r="E20" s="487"/>
      <c r="F20" s="487"/>
      <c r="G20" s="17"/>
      <c r="H20" s="56"/>
      <c r="I20" s="494"/>
      <c r="J20" s="494"/>
      <c r="K20" s="30"/>
      <c r="L20" s="64"/>
      <c r="M20" s="65"/>
      <c r="N20" s="19" t="s">
        <v>296</v>
      </c>
      <c r="O20" s="19" t="s">
        <v>236</v>
      </c>
      <c r="R20" s="19">
        <v>4</v>
      </c>
      <c r="S20" s="19" t="s">
        <v>378</v>
      </c>
      <c r="T20" s="19" t="s">
        <v>329</v>
      </c>
      <c r="V20" s="19">
        <v>13</v>
      </c>
    </row>
    <row r="21" spans="2:22" ht="20.149999999999999" customHeight="1" x14ac:dyDescent="0.45">
      <c r="B21" s="29"/>
      <c r="C21" s="17"/>
      <c r="G21" s="17"/>
      <c r="H21" s="56"/>
      <c r="I21" s="17"/>
      <c r="J21" s="17"/>
      <c r="K21" s="30"/>
      <c r="L21" s="64"/>
      <c r="M21" s="65"/>
      <c r="N21" s="19" t="s">
        <v>281</v>
      </c>
      <c r="O21" s="19" t="s">
        <v>218</v>
      </c>
      <c r="R21" s="19">
        <v>2</v>
      </c>
      <c r="S21" s="19" t="s">
        <v>41</v>
      </c>
      <c r="T21" s="19" t="s">
        <v>72</v>
      </c>
      <c r="V21" s="19">
        <v>13</v>
      </c>
    </row>
    <row r="22" spans="2:22" ht="20.149999999999999" customHeight="1" x14ac:dyDescent="0.45">
      <c r="B22" s="29"/>
      <c r="C22" s="17"/>
      <c r="G22" s="17"/>
      <c r="H22" s="56"/>
      <c r="I22" s="17"/>
      <c r="J22" s="17"/>
      <c r="K22" s="30"/>
      <c r="L22" s="64"/>
      <c r="M22" s="65"/>
      <c r="N22" s="19" t="s">
        <v>287</v>
      </c>
      <c r="O22" s="19" t="s">
        <v>230</v>
      </c>
      <c r="R22" s="19">
        <v>1</v>
      </c>
      <c r="S22" s="19" t="s">
        <v>334</v>
      </c>
      <c r="T22" s="19" t="s">
        <v>47</v>
      </c>
      <c r="V22" s="19">
        <v>7</v>
      </c>
    </row>
    <row r="23" spans="2:22" ht="20.149999999999999" customHeight="1" x14ac:dyDescent="0.45">
      <c r="B23" s="29"/>
      <c r="C23" s="17"/>
      <c r="D23" s="487"/>
      <c r="E23" s="487"/>
      <c r="F23" s="487"/>
      <c r="G23" s="17"/>
      <c r="H23" s="56"/>
      <c r="I23" s="458"/>
      <c r="J23" s="458"/>
      <c r="K23" s="30"/>
      <c r="L23" s="64"/>
      <c r="M23" s="65"/>
      <c r="N23" s="19" t="s">
        <v>295</v>
      </c>
      <c r="O23" s="19" t="s">
        <v>213</v>
      </c>
      <c r="R23" s="19">
        <v>2</v>
      </c>
      <c r="S23" s="19" t="s">
        <v>34</v>
      </c>
      <c r="T23" s="19" t="s">
        <v>59</v>
      </c>
      <c r="V23" s="19">
        <v>6</v>
      </c>
    </row>
    <row r="24" spans="2:22" ht="20.149999999999999" customHeight="1" x14ac:dyDescent="0.45">
      <c r="B24" s="29"/>
      <c r="C24" s="17"/>
      <c r="D24" s="487"/>
      <c r="E24" s="487"/>
      <c r="F24" s="487"/>
      <c r="G24" s="17"/>
      <c r="H24" s="56"/>
      <c r="I24" s="458"/>
      <c r="J24" s="458"/>
      <c r="K24" s="30"/>
      <c r="L24" s="64"/>
      <c r="M24" s="65"/>
    </row>
    <row r="25" spans="2:22" ht="20.149999999999999" customHeight="1" x14ac:dyDescent="0.45">
      <c r="B25" s="29"/>
      <c r="C25" s="17"/>
      <c r="D25" s="487"/>
      <c r="E25" s="487"/>
      <c r="F25" s="487"/>
      <c r="G25" s="17"/>
      <c r="H25" s="56"/>
      <c r="I25" s="458"/>
      <c r="J25" s="458"/>
      <c r="K25" s="30"/>
      <c r="L25" s="64"/>
      <c r="M25" s="65"/>
    </row>
    <row r="26" spans="2:22" ht="20.149999999999999" customHeight="1" x14ac:dyDescent="0.45">
      <c r="B26" s="29"/>
      <c r="C26" s="17"/>
      <c r="D26" s="487"/>
      <c r="E26" s="487"/>
      <c r="F26" s="487"/>
      <c r="G26" s="17"/>
      <c r="H26" s="56"/>
      <c r="I26" s="458"/>
      <c r="J26" s="458"/>
      <c r="K26" s="30"/>
      <c r="L26" s="64"/>
      <c r="M26" s="65"/>
    </row>
    <row r="27" spans="2:22" ht="20.149999999999999" customHeight="1" x14ac:dyDescent="0.45">
      <c r="B27" s="29"/>
      <c r="C27" s="17"/>
      <c r="D27" s="487"/>
      <c r="E27" s="487"/>
      <c r="F27" s="487"/>
      <c r="G27" s="17"/>
      <c r="H27" s="56"/>
      <c r="I27" s="458"/>
      <c r="J27" s="458"/>
      <c r="K27" s="30"/>
      <c r="L27" s="64"/>
      <c r="M27" s="65"/>
    </row>
    <row r="28" spans="2:22" ht="20.149999999999999" customHeight="1" x14ac:dyDescent="0.45">
      <c r="B28" s="29"/>
      <c r="C28" s="17"/>
      <c r="D28" s="487"/>
      <c r="E28" s="487"/>
      <c r="F28" s="487"/>
      <c r="G28" s="17"/>
      <c r="H28" s="56"/>
      <c r="I28" s="458"/>
      <c r="J28" s="458"/>
      <c r="K28" s="30"/>
      <c r="L28" s="64"/>
      <c r="M28" s="65"/>
    </row>
    <row r="29" spans="2:22" ht="20.149999999999999" customHeight="1" x14ac:dyDescent="0.45">
      <c r="B29" s="29"/>
      <c r="C29" s="17"/>
      <c r="D29" s="487"/>
      <c r="E29" s="487"/>
      <c r="F29" s="487"/>
      <c r="G29" s="17"/>
      <c r="H29" s="56"/>
      <c r="I29" s="458"/>
      <c r="J29" s="458"/>
      <c r="K29" s="30"/>
      <c r="L29" s="64"/>
      <c r="M29" s="65"/>
    </row>
    <row r="30" spans="2:22" ht="20.149999999999999" customHeight="1" x14ac:dyDescent="0.45">
      <c r="B30" s="29"/>
      <c r="C30" s="17"/>
      <c r="D30" s="487"/>
      <c r="E30" s="487"/>
      <c r="F30" s="487"/>
      <c r="G30" s="17"/>
      <c r="H30" s="56"/>
      <c r="I30" s="458"/>
      <c r="J30" s="458"/>
      <c r="K30" s="30"/>
      <c r="L30" s="64"/>
      <c r="M30" s="65"/>
    </row>
    <row r="31" spans="2:22" ht="20.149999999999999" customHeight="1" x14ac:dyDescent="0.45">
      <c r="B31" s="29"/>
      <c r="C31" s="17"/>
      <c r="D31" s="487"/>
      <c r="E31" s="487"/>
      <c r="F31" s="487"/>
      <c r="G31" s="17"/>
      <c r="H31" s="56"/>
      <c r="I31" s="458"/>
      <c r="J31" s="458"/>
      <c r="K31" s="30"/>
      <c r="L31" s="64"/>
      <c r="M31" s="65"/>
    </row>
    <row r="32" spans="2:22" ht="20.149999999999999" customHeight="1" x14ac:dyDescent="0.45">
      <c r="B32" s="29"/>
      <c r="C32" s="17"/>
      <c r="D32" s="487"/>
      <c r="E32" s="487"/>
      <c r="F32" s="487"/>
      <c r="G32" s="17"/>
      <c r="H32" s="56"/>
      <c r="I32" s="458"/>
      <c r="J32" s="458"/>
      <c r="K32" s="30"/>
      <c r="L32" s="64"/>
      <c r="M32" s="65"/>
    </row>
    <row r="33" spans="2:13" ht="20.149999999999999" customHeight="1" x14ac:dyDescent="0.45">
      <c r="B33" s="29"/>
      <c r="C33" s="17"/>
      <c r="D33" s="487"/>
      <c r="E33" s="487"/>
      <c r="F33" s="487"/>
      <c r="G33" s="17"/>
      <c r="H33" s="56"/>
      <c r="I33" s="458"/>
      <c r="J33" s="458"/>
      <c r="K33" s="30"/>
      <c r="L33" s="64"/>
      <c r="M33" s="65"/>
    </row>
    <row r="34" spans="2:13" ht="20.149999999999999" customHeight="1" x14ac:dyDescent="0.45">
      <c r="B34" s="29"/>
      <c r="C34" s="17"/>
      <c r="D34" s="487"/>
      <c r="E34" s="487"/>
      <c r="F34" s="487"/>
      <c r="G34" s="17"/>
      <c r="H34" s="56"/>
      <c r="I34" s="458"/>
      <c r="J34" s="458"/>
      <c r="K34" s="30"/>
      <c r="L34" s="64"/>
      <c r="M34" s="65"/>
    </row>
    <row r="35" spans="2:13" ht="20.149999999999999" customHeight="1" x14ac:dyDescent="0.45">
      <c r="B35" s="29"/>
      <c r="C35" s="17"/>
      <c r="D35" s="487"/>
      <c r="E35" s="487"/>
      <c r="F35" s="487"/>
      <c r="G35" s="17"/>
      <c r="H35" s="56"/>
      <c r="I35" s="458"/>
      <c r="J35" s="458"/>
      <c r="K35" s="30"/>
      <c r="L35" s="64"/>
      <c r="M35" s="65"/>
    </row>
    <row r="36" spans="2:13" ht="20.149999999999999" customHeight="1" x14ac:dyDescent="0.45">
      <c r="B36" s="29"/>
      <c r="C36" s="17"/>
      <c r="D36" s="487"/>
      <c r="E36" s="487"/>
      <c r="F36" s="487"/>
      <c r="G36" s="17"/>
      <c r="H36" s="56"/>
      <c r="I36" s="458"/>
      <c r="J36" s="458"/>
      <c r="K36" s="30"/>
      <c r="L36" s="31"/>
    </row>
    <row r="37" spans="2:13" ht="20.149999999999999" customHeight="1" thickBot="1" x14ac:dyDescent="0.5">
      <c r="B37" s="32"/>
      <c r="C37" s="33"/>
      <c r="D37" s="488"/>
      <c r="E37" s="488"/>
      <c r="F37" s="488"/>
      <c r="G37" s="33"/>
      <c r="H37" s="57"/>
      <c r="I37" s="459"/>
      <c r="J37" s="459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89" t="s">
        <v>13</v>
      </c>
      <c r="K39" s="490"/>
      <c r="L39" s="38" t="e">
        <f>SUM(L17:L36)</f>
        <v>#N/A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 t="e">
        <f>L39*K40</f>
        <v>#N/A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91" t="s">
        <v>19</v>
      </c>
      <c r="K41" s="492"/>
      <c r="L41" s="41" t="e">
        <f>L39-L40</f>
        <v>#N/A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 t="e">
        <f>L41*K42</f>
        <v>#N/A</v>
      </c>
    </row>
    <row r="43" spans="2:13" ht="20.149999999999999" customHeight="1" thickBot="1" x14ac:dyDescent="0.5">
      <c r="B43" s="10" t="s">
        <v>676</v>
      </c>
      <c r="C43" s="6"/>
      <c r="D43" s="6"/>
      <c r="E43" s="6"/>
      <c r="F43" s="6"/>
      <c r="G43" s="6"/>
      <c r="H43" s="6"/>
      <c r="I43" s="6"/>
      <c r="J43" s="485" t="s">
        <v>21</v>
      </c>
      <c r="K43" s="486"/>
      <c r="L43" s="43" t="e">
        <f>L41+L42</f>
        <v>#N/A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144" t="s">
        <v>666</v>
      </c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4">
    <mergeCell ref="B1:L8"/>
    <mergeCell ref="D33:F33"/>
    <mergeCell ref="I33:J33"/>
    <mergeCell ref="J43:K43"/>
    <mergeCell ref="D34:F34"/>
    <mergeCell ref="I34:J34"/>
    <mergeCell ref="D35:F35"/>
    <mergeCell ref="I35:J35"/>
    <mergeCell ref="D36:F36"/>
    <mergeCell ref="I36:J36"/>
    <mergeCell ref="D37:F37"/>
    <mergeCell ref="I37:J37"/>
    <mergeCell ref="J39:K39"/>
    <mergeCell ref="J41:K41"/>
    <mergeCell ref="D30:F30"/>
    <mergeCell ref="I30:J30"/>
    <mergeCell ref="D31:F31"/>
    <mergeCell ref="I31:J31"/>
    <mergeCell ref="D32:F32"/>
    <mergeCell ref="I32:J32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0:F20"/>
    <mergeCell ref="I20:J20"/>
    <mergeCell ref="D23:F23"/>
    <mergeCell ref="I23:J23"/>
    <mergeCell ref="D19:F19"/>
    <mergeCell ref="I19:J19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B15:D15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C82E8-5879-42AF-818F-4E032CC1F534}">
  <sheetPr codeName="Sheet103">
    <tabColor rgb="FF7030A0"/>
    <pageSetUpPr fitToPage="1"/>
  </sheetPr>
  <dimension ref="B1:V45"/>
  <sheetViews>
    <sheetView workbookViewId="0">
      <selection activeCell="K11" sqref="K11:L1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8164062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8.5" customHeight="1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123</v>
      </c>
      <c r="J10" s="24" t="s">
        <v>27</v>
      </c>
      <c r="K10" s="464">
        <v>202102064</v>
      </c>
      <c r="L10" s="465"/>
    </row>
    <row r="11" spans="2:12" ht="20.149999999999999" customHeight="1" x14ac:dyDescent="0.45">
      <c r="B11" s="466" t="s">
        <v>1144</v>
      </c>
      <c r="C11" s="467"/>
      <c r="D11" s="468"/>
      <c r="E11" s="25"/>
      <c r="F11" s="469" t="str">
        <f>VLOOKUP(H10,'Delivery Location'!A$4:N$466,2,0)</f>
        <v xml:space="preserve">Koufu - (Dessert)                                     180, Ang Mo Kio Ave 8. Block A unit 235 Nanyang Polythenic Singapore 569830                                      </v>
      </c>
      <c r="G11" s="470"/>
      <c r="H11" s="471"/>
      <c r="J11" s="26" t="s">
        <v>9</v>
      </c>
      <c r="K11" s="500">
        <v>44230</v>
      </c>
      <c r="L11" s="483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28"/>
      <c r="O17" s="28"/>
    </row>
    <row r="18" spans="2:22" ht="20.149999999999999" customHeight="1" x14ac:dyDescent="0.45">
      <c r="B18" s="78"/>
      <c r="C18" s="71" t="s">
        <v>379</v>
      </c>
      <c r="D18" s="524" t="e">
        <f>VLOOKUP(C18,'Sales Master'!B$3:D$537,2,)</f>
        <v>#N/A</v>
      </c>
      <c r="E18" s="524"/>
      <c r="F18" s="524"/>
      <c r="G18" s="71">
        <v>1</v>
      </c>
      <c r="H18" s="56" t="e">
        <f>VLOOKUP(C18,'Sales Master'!$B$3:$F$2420,5,0)</f>
        <v>#N/A</v>
      </c>
      <c r="I18" s="494" t="e">
        <f>VLOOKUP(C18,'Sales Master'!$B$3:$E$2420,4,0)</f>
        <v>#N/A</v>
      </c>
      <c r="J18" s="494"/>
      <c r="K18" s="100" t="e">
        <f>VLOOKUP(C18,'Sales Master'!$B$3:$AX$537,49,0)</f>
        <v>#N/A</v>
      </c>
      <c r="L18" s="101" t="e">
        <f t="shared" ref="L18:L23" si="0">K18*G18</f>
        <v>#N/A</v>
      </c>
    </row>
    <row r="19" spans="2:22" ht="20.149999999999999" customHeight="1" x14ac:dyDescent="0.45">
      <c r="B19" s="78"/>
      <c r="C19" s="71" t="s">
        <v>389</v>
      </c>
      <c r="D19" s="524" t="e">
        <f>VLOOKUP(C19,'Sales Master'!B$3:D$537,2,)</f>
        <v>#N/A</v>
      </c>
      <c r="E19" s="524"/>
      <c r="F19" s="524"/>
      <c r="G19" s="71">
        <v>1</v>
      </c>
      <c r="H19" s="56" t="e">
        <f>VLOOKUP(C19,'Sales Master'!$B$3:$F$2420,5,0)</f>
        <v>#N/A</v>
      </c>
      <c r="I19" s="494" t="e">
        <f>VLOOKUP(C19,'Sales Master'!$B$3:$E$2420,4,0)</f>
        <v>#N/A</v>
      </c>
      <c r="J19" s="494"/>
      <c r="K19" s="100" t="e">
        <f>VLOOKUP(C19,'Sales Master'!$B$3:$AX$537,49,0)</f>
        <v>#N/A</v>
      </c>
      <c r="L19" s="101" t="e">
        <f>K19*G19</f>
        <v>#N/A</v>
      </c>
      <c r="N19" s="93" t="s">
        <v>280</v>
      </c>
      <c r="O19" s="19" t="s">
        <v>217</v>
      </c>
      <c r="R19" s="19">
        <v>1</v>
      </c>
      <c r="S19" s="19" t="s">
        <v>97</v>
      </c>
      <c r="T19" s="19" t="s">
        <v>408</v>
      </c>
      <c r="V19" s="19">
        <v>11</v>
      </c>
    </row>
    <row r="20" spans="2:22" ht="20.149999999999999" customHeight="1" x14ac:dyDescent="0.45">
      <c r="B20" s="29"/>
      <c r="C20" s="71" t="s">
        <v>282</v>
      </c>
      <c r="D20" s="524" t="e">
        <f>VLOOKUP(C20,'Sales Master'!B$3:D$537,2,)</f>
        <v>#N/A</v>
      </c>
      <c r="E20" s="524"/>
      <c r="F20" s="524"/>
      <c r="G20" s="71">
        <v>1</v>
      </c>
      <c r="H20" s="56" t="e">
        <f>VLOOKUP(C20,'Sales Master'!$B$3:$F$2420,5,0)</f>
        <v>#N/A</v>
      </c>
      <c r="I20" s="494" t="e">
        <f>VLOOKUP(C20,'Sales Master'!$B$3:$E$2420,4,0)</f>
        <v>#N/A</v>
      </c>
      <c r="J20" s="494"/>
      <c r="K20" s="100" t="e">
        <f>VLOOKUP(C20,'Sales Master'!$B$3:$AX$537,49,0)</f>
        <v>#N/A</v>
      </c>
      <c r="L20" s="101" t="e">
        <f t="shared" si="0"/>
        <v>#N/A</v>
      </c>
      <c r="N20" s="93" t="s">
        <v>297</v>
      </c>
      <c r="O20" s="19" t="s">
        <v>223</v>
      </c>
      <c r="R20" s="19">
        <v>1</v>
      </c>
      <c r="S20" s="19" t="s">
        <v>392</v>
      </c>
      <c r="T20" s="19" t="s">
        <v>328</v>
      </c>
      <c r="V20" s="19">
        <v>9</v>
      </c>
    </row>
    <row r="21" spans="2:22" ht="20.149999999999999" customHeight="1" x14ac:dyDescent="0.45">
      <c r="B21" s="29"/>
      <c r="C21" s="71" t="s">
        <v>284</v>
      </c>
      <c r="D21" s="524" t="e">
        <f>VLOOKUP(C21,'Sales Master'!B$3:D$537,2,)</f>
        <v>#N/A</v>
      </c>
      <c r="E21" s="524"/>
      <c r="F21" s="524"/>
      <c r="G21" s="71">
        <v>1</v>
      </c>
      <c r="H21" s="56" t="e">
        <f>VLOOKUP(C21,'Sales Master'!$B$3:$F$2420,5,0)</f>
        <v>#N/A</v>
      </c>
      <c r="I21" s="494" t="e">
        <f>VLOOKUP(C21,'Sales Master'!$B$3:$E$2420,4,0)</f>
        <v>#N/A</v>
      </c>
      <c r="J21" s="494"/>
      <c r="K21" s="100" t="e">
        <f>VLOOKUP(C21,'Sales Master'!$B$3:$AX$537,49,0)</f>
        <v>#N/A</v>
      </c>
      <c r="L21" s="101" t="e">
        <f t="shared" si="0"/>
        <v>#N/A</v>
      </c>
      <c r="N21" s="93" t="s">
        <v>310</v>
      </c>
      <c r="O21" s="19" t="s">
        <v>224</v>
      </c>
      <c r="R21" s="19">
        <v>5</v>
      </c>
      <c r="S21" s="19" t="s">
        <v>34</v>
      </c>
      <c r="T21" s="19" t="s">
        <v>404</v>
      </c>
      <c r="V21" s="19">
        <v>0.7</v>
      </c>
    </row>
    <row r="22" spans="2:22" ht="20.149999999999999" customHeight="1" x14ac:dyDescent="0.45">
      <c r="B22" s="29"/>
      <c r="C22" s="71" t="s">
        <v>287</v>
      </c>
      <c r="D22" s="524" t="e">
        <f>VLOOKUP(C22,'Sales Master'!B$3:D$537,2,)</f>
        <v>#N/A</v>
      </c>
      <c r="E22" s="524"/>
      <c r="F22" s="524"/>
      <c r="G22" s="71">
        <v>1</v>
      </c>
      <c r="H22" s="56" t="e">
        <f>VLOOKUP(C22,'Sales Master'!$B$3:$F$2420,5,0)</f>
        <v>#N/A</v>
      </c>
      <c r="I22" s="494" t="e">
        <f>VLOOKUP(C22,'Sales Master'!$B$3:$E$2420,4,0)</f>
        <v>#N/A</v>
      </c>
      <c r="J22" s="494"/>
      <c r="K22" s="100" t="e">
        <f>VLOOKUP(C22,'Sales Master'!$B$3:$AX$537,49,0)</f>
        <v>#N/A</v>
      </c>
      <c r="L22" s="101" t="e">
        <f t="shared" si="0"/>
        <v>#N/A</v>
      </c>
      <c r="N22" s="93" t="s">
        <v>301</v>
      </c>
      <c r="O22" s="19" t="s">
        <v>380</v>
      </c>
      <c r="R22" s="19">
        <v>1</v>
      </c>
      <c r="S22" s="19" t="s">
        <v>381</v>
      </c>
      <c r="T22" s="19" t="s">
        <v>431</v>
      </c>
      <c r="V22" s="19">
        <v>34</v>
      </c>
    </row>
    <row r="23" spans="2:22" ht="20.149999999999999" customHeight="1" x14ac:dyDescent="0.45">
      <c r="B23" s="29"/>
      <c r="C23" s="71" t="s">
        <v>289</v>
      </c>
      <c r="D23" s="524" t="e">
        <f>VLOOKUP(C23,'Sales Master'!B$3:D$537,2,)</f>
        <v>#N/A</v>
      </c>
      <c r="E23" s="524"/>
      <c r="F23" s="524"/>
      <c r="G23" s="71">
        <v>1</v>
      </c>
      <c r="H23" s="56" t="e">
        <f>VLOOKUP(C23,'Sales Master'!$B$3:$F$2420,5,0)</f>
        <v>#N/A</v>
      </c>
      <c r="I23" s="494" t="e">
        <f>VLOOKUP(C23,'Sales Master'!$B$3:$E$2420,4,0)</f>
        <v>#N/A</v>
      </c>
      <c r="J23" s="494"/>
      <c r="K23" s="100" t="e">
        <f>VLOOKUP(C23,'Sales Master'!$B$3:$AX$537,49,0)</f>
        <v>#N/A</v>
      </c>
      <c r="L23" s="101" t="e">
        <f t="shared" si="0"/>
        <v>#N/A</v>
      </c>
    </row>
    <row r="24" spans="2:22" ht="20.149999999999999" customHeight="1" x14ac:dyDescent="0.45">
      <c r="B24" s="29"/>
      <c r="C24" s="71" t="s">
        <v>391</v>
      </c>
      <c r="D24" s="524" t="e">
        <f>VLOOKUP(C24,'Sales Master'!B$3:D$537,2,)</f>
        <v>#N/A</v>
      </c>
      <c r="E24" s="524"/>
      <c r="F24" s="524"/>
      <c r="G24" s="71">
        <v>1</v>
      </c>
      <c r="H24" s="56" t="e">
        <f>VLOOKUP(C24,'Sales Master'!$B$3:$F$2420,5,0)</f>
        <v>#N/A</v>
      </c>
      <c r="I24" s="494" t="e">
        <f>VLOOKUP(C24,'Sales Master'!$B$3:$E$2420,4,0)</f>
        <v>#N/A</v>
      </c>
      <c r="J24" s="494"/>
      <c r="K24" s="100" t="e">
        <f>VLOOKUP(C24,'Sales Master'!$B$3:$AX$537,49,0)</f>
        <v>#N/A</v>
      </c>
      <c r="L24" s="101" t="e">
        <f>K24*G24</f>
        <v>#N/A</v>
      </c>
    </row>
    <row r="25" spans="2:22" ht="20.149999999999999" customHeight="1" x14ac:dyDescent="0.45">
      <c r="B25" s="29"/>
      <c r="C25" s="71" t="s">
        <v>460</v>
      </c>
      <c r="D25" s="524" t="e">
        <f>VLOOKUP(C25,'Sales Master'!B$3:D$537,2,)</f>
        <v>#N/A</v>
      </c>
      <c r="E25" s="524"/>
      <c r="F25" s="524"/>
      <c r="G25" s="71">
        <v>1</v>
      </c>
      <c r="H25" s="56" t="e">
        <f>VLOOKUP(C25,'Sales Master'!$B$3:$F$2420,5,0)</f>
        <v>#N/A</v>
      </c>
      <c r="I25" s="494" t="e">
        <f>VLOOKUP(C25,'Sales Master'!$B$3:$E$2420,4,0)</f>
        <v>#N/A</v>
      </c>
      <c r="J25" s="494"/>
      <c r="K25" s="100" t="e">
        <f>VLOOKUP(C25,'Sales Master'!$B$3:$AX$537,49,0)</f>
        <v>#N/A</v>
      </c>
      <c r="L25" s="101" t="e">
        <f>K25*G25</f>
        <v>#N/A</v>
      </c>
    </row>
    <row r="26" spans="2:22" ht="20.149999999999999" customHeight="1" x14ac:dyDescent="0.45">
      <c r="B26" s="29"/>
      <c r="C26" s="71" t="s">
        <v>296</v>
      </c>
      <c r="D26" s="524" t="e">
        <f>VLOOKUP(C26,'Sales Master'!B$3:D$537,2,)</f>
        <v>#N/A</v>
      </c>
      <c r="E26" s="524"/>
      <c r="F26" s="524"/>
      <c r="G26" s="71">
        <v>1</v>
      </c>
      <c r="H26" s="56" t="e">
        <f>VLOOKUP(C26,'Sales Master'!$B$3:$F$2420,5,0)</f>
        <v>#N/A</v>
      </c>
      <c r="I26" s="494" t="e">
        <f>VLOOKUP(C26,'Sales Master'!$B$3:$E$2420,4,0)</f>
        <v>#N/A</v>
      </c>
      <c r="J26" s="494"/>
      <c r="K26" s="100" t="e">
        <f>VLOOKUP(C26,'Sales Master'!$B$3:$AX$537,49,0)</f>
        <v>#N/A</v>
      </c>
      <c r="L26" s="101" t="e">
        <f>K26*G26</f>
        <v>#N/A</v>
      </c>
    </row>
    <row r="27" spans="2:22" ht="20.149999999999999" customHeight="1" x14ac:dyDescent="0.45">
      <c r="B27" s="29"/>
      <c r="C27" s="71"/>
      <c r="D27" s="524"/>
      <c r="E27" s="524"/>
      <c r="F27" s="524"/>
      <c r="G27" s="71"/>
      <c r="H27" s="56"/>
      <c r="I27" s="494"/>
      <c r="J27" s="494"/>
      <c r="K27" s="100"/>
      <c r="L27" s="101"/>
    </row>
    <row r="28" spans="2:22" ht="20.149999999999999" customHeight="1" x14ac:dyDescent="0.45">
      <c r="B28" s="29"/>
      <c r="C28" s="71"/>
      <c r="D28" s="524"/>
      <c r="E28" s="524"/>
      <c r="F28" s="524"/>
      <c r="G28" s="71"/>
      <c r="H28" s="56"/>
      <c r="I28" s="494"/>
      <c r="J28" s="494"/>
      <c r="K28" s="100"/>
      <c r="L28" s="101"/>
    </row>
    <row r="29" spans="2:22" ht="20.149999999999999" customHeight="1" x14ac:dyDescent="0.45">
      <c r="B29" s="29"/>
      <c r="C29" s="17"/>
      <c r="D29" s="524"/>
      <c r="E29" s="524"/>
      <c r="F29" s="524"/>
      <c r="G29" s="17"/>
      <c r="H29" s="71"/>
      <c r="I29" s="527"/>
      <c r="J29" s="527"/>
      <c r="K29" s="100"/>
      <c r="L29" s="101"/>
    </row>
    <row r="30" spans="2:22" ht="20.149999999999999" customHeight="1" x14ac:dyDescent="0.45">
      <c r="B30" s="29"/>
      <c r="C30" s="71"/>
      <c r="D30" s="524"/>
      <c r="E30" s="524"/>
      <c r="F30" s="524"/>
      <c r="G30" s="71"/>
      <c r="H30" s="71"/>
      <c r="I30" s="527"/>
      <c r="J30" s="527"/>
      <c r="K30" s="100"/>
      <c r="L30" s="101"/>
    </row>
    <row r="31" spans="2:22" ht="20.149999999999999" customHeight="1" thickBot="1" x14ac:dyDescent="0.5">
      <c r="B31" s="32"/>
      <c r="C31" s="33"/>
      <c r="D31" s="488"/>
      <c r="E31" s="488"/>
      <c r="F31" s="488"/>
      <c r="G31" s="33"/>
      <c r="H31" s="33"/>
      <c r="I31" s="33"/>
      <c r="J31" s="33"/>
      <c r="K31" s="34"/>
      <c r="L31" s="35"/>
    </row>
    <row r="32" spans="2:22" ht="20.149999999999999" customHeight="1" thickBot="1" x14ac:dyDescent="0.5">
      <c r="B32" s="36"/>
      <c r="L32" s="37"/>
    </row>
    <row r="33" spans="2:12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89" t="s">
        <v>13</v>
      </c>
      <c r="K33" s="490"/>
      <c r="L33" s="38" t="e">
        <f>SUM(L17:L30)</f>
        <v>#N/A</v>
      </c>
    </row>
    <row r="34" spans="2:12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 t="e">
        <f>L33*K34</f>
        <v>#N/A</v>
      </c>
    </row>
    <row r="35" spans="2:12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91" t="s">
        <v>19</v>
      </c>
      <c r="K35" s="492"/>
      <c r="L35" s="41" t="e">
        <f>L33-L34</f>
        <v>#N/A</v>
      </c>
    </row>
    <row r="36" spans="2:12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 t="e">
        <f>L35*K36</f>
        <v>#N/A</v>
      </c>
    </row>
    <row r="37" spans="2:12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85" t="s">
        <v>21</v>
      </c>
      <c r="K37" s="486"/>
      <c r="L37" s="43" t="e">
        <f>L35+L36</f>
        <v>#N/A</v>
      </c>
    </row>
    <row r="38" spans="2:12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36"/>
      <c r="L42" s="37"/>
    </row>
    <row r="43" spans="2:12" ht="20.149999999999999" customHeight="1" x14ac:dyDescent="0.45">
      <c r="B43" s="44"/>
      <c r="C43" s="45"/>
      <c r="D43" s="45"/>
      <c r="J43" s="45"/>
      <c r="K43" s="45"/>
      <c r="L43" s="46"/>
    </row>
    <row r="44" spans="2:12" ht="20.149999999999999" customHeight="1" x14ac:dyDescent="0.45">
      <c r="B44" s="36" t="s">
        <v>25</v>
      </c>
      <c r="J44" s="19" t="s">
        <v>26</v>
      </c>
      <c r="L44" s="37"/>
    </row>
    <row r="45" spans="2:12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5">
    <mergeCell ref="B15:D15"/>
    <mergeCell ref="D23:F23"/>
    <mergeCell ref="D31:F31"/>
    <mergeCell ref="J33:K33"/>
    <mergeCell ref="J35:K35"/>
    <mergeCell ref="D30:F30"/>
    <mergeCell ref="J37:K37"/>
    <mergeCell ref="I25:J25"/>
    <mergeCell ref="I26:J26"/>
    <mergeCell ref="I28:J28"/>
    <mergeCell ref="I27:J27"/>
    <mergeCell ref="I30:J30"/>
    <mergeCell ref="I29:J29"/>
    <mergeCell ref="K14:L14"/>
    <mergeCell ref="I24:J24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I21:J21"/>
    <mergeCell ref="I22:J22"/>
    <mergeCell ref="I23:J23"/>
    <mergeCell ref="D21:F21"/>
    <mergeCell ref="D22:F22"/>
    <mergeCell ref="B1:L8"/>
    <mergeCell ref="D29:F29"/>
    <mergeCell ref="D24:F24"/>
    <mergeCell ref="D25:F25"/>
    <mergeCell ref="D26:F26"/>
    <mergeCell ref="D28:F28"/>
    <mergeCell ref="D27:F2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</mergeCells>
  <pageMargins left="0.70866141732283472" right="0.31496062992125984" top="0.59055118110236227" bottom="0" header="0.31496062992125984" footer="0.31496062992125984"/>
  <pageSetup paperSize="9" scale="7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57D4D-D1DB-49B8-9DFE-22633C4A51D2}">
  <sheetPr codeName="Sheet56">
    <tabColor rgb="FFFFC000"/>
    <pageSetUpPr fitToPage="1"/>
  </sheetPr>
  <dimension ref="A1:R53"/>
  <sheetViews>
    <sheetView topLeftCell="A4" zoomScaleNormal="100" workbookViewId="0">
      <selection activeCell="D25" sqref="D25:F25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2" width="12.6328125" style="19" customWidth="1"/>
    <col min="13" max="13" width="19.7265625" style="19" customWidth="1"/>
    <col min="14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124</v>
      </c>
      <c r="J10" s="24" t="s">
        <v>27</v>
      </c>
      <c r="K10" s="464">
        <v>202504269</v>
      </c>
      <c r="L10" s="465"/>
    </row>
    <row r="11" spans="2:12" ht="20.149999999999999" customHeight="1" x14ac:dyDescent="0.45">
      <c r="B11" s="466" t="s">
        <v>678</v>
      </c>
      <c r="C11" s="467"/>
      <c r="D11" s="468"/>
      <c r="E11" s="25"/>
      <c r="F11" s="469" t="str">
        <f>VLOOKUP(H10,'Delivery Location'!A$4:N$466,2,0)</f>
        <v>Combined Stalls                                               Junction 8. 9 Bishan Place                               #04-01. Junction 8 Shopping Centre. Singapore 579837</v>
      </c>
      <c r="G11" s="470"/>
      <c r="H11" s="471"/>
      <c r="J11" s="26" t="s">
        <v>9</v>
      </c>
      <c r="K11" s="478">
        <v>45758</v>
      </c>
      <c r="L11" s="479"/>
    </row>
    <row r="12" spans="2:12" ht="20.149999999999999" customHeight="1" x14ac:dyDescent="0.45">
      <c r="B12" s="480" t="s">
        <v>524</v>
      </c>
      <c r="C12" s="453"/>
      <c r="D12" s="481"/>
      <c r="E12" s="25"/>
      <c r="F12" s="472"/>
      <c r="G12" s="473"/>
      <c r="H12" s="474"/>
      <c r="J12" s="26" t="s">
        <v>127</v>
      </c>
      <c r="K12" s="482">
        <v>4500364155</v>
      </c>
      <c r="L12" s="483"/>
    </row>
    <row r="13" spans="2:12" ht="20.149999999999999" customHeight="1" x14ac:dyDescent="0.45">
      <c r="B13" s="480" t="s">
        <v>525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609</v>
      </c>
      <c r="L13" s="483"/>
    </row>
    <row r="14" spans="2:12" ht="20.149999999999999" customHeight="1" x14ac:dyDescent="0.45">
      <c r="B14" s="480" t="s">
        <v>526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18" t="s">
        <v>527</v>
      </c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1:18" ht="20.149999999999999" customHeight="1" x14ac:dyDescent="0.45">
      <c r="A18" s="65"/>
      <c r="B18" s="58">
        <v>520704</v>
      </c>
      <c r="C18" s="212" t="str">
        <f>VLOOKUP(B18,'Sales Master'!A$3:B$537,2,0)</f>
        <v>M1014</v>
      </c>
      <c r="D18" s="487" t="str">
        <f>VLOOKUP(C18,'Sales Master'!B$3:D$537,2,)</f>
        <v>Chendol 浆咯</v>
      </c>
      <c r="E18" s="487"/>
      <c r="F18" s="487"/>
      <c r="G18" s="76">
        <v>2</v>
      </c>
      <c r="H18" s="247" t="str">
        <f>VLOOKUP(C18,'Sales Master'!$B$3:$F$2420,5,0)</f>
        <v>NW(2.2:0.8) 3kg/ Pkt包</v>
      </c>
      <c r="I18" s="513" t="str">
        <f>VLOOKUP(C18,'Sales Master'!$B$3:$E$2420,4,0)</f>
        <v>DO!</v>
      </c>
      <c r="J18" s="513"/>
      <c r="K18" s="83">
        <f>VLOOKUP(C18,'Sales Master'!B$3:I$537,8,0)</f>
        <v>7.5</v>
      </c>
      <c r="L18" s="84">
        <f t="shared" ref="L18" si="0">K18*G18</f>
        <v>15</v>
      </c>
      <c r="N18" s="145">
        <f>VLOOKUP(C18,'Sales Master'!$B$3:$DA$2279,104,0)</f>
        <v>2.44</v>
      </c>
      <c r="O18" s="145">
        <f t="shared" ref="O18" si="1">K18-N18</f>
        <v>5.0600000000000005</v>
      </c>
      <c r="P18" s="145">
        <f t="shared" ref="P18" si="2">O18*G18</f>
        <v>10.120000000000001</v>
      </c>
      <c r="Q18" s="63"/>
      <c r="R18" s="63">
        <f>N18*G18*0.07</f>
        <v>0.34160000000000001</v>
      </c>
    </row>
    <row r="19" spans="1:18" ht="20.149999999999999" customHeight="1" x14ac:dyDescent="0.45">
      <c r="A19" s="65"/>
      <c r="B19" s="58">
        <v>520737</v>
      </c>
      <c r="C19" s="212" t="str">
        <f>VLOOKUP(B19,'Sales Master'!A$3:B$537,2,0)</f>
        <v>M1004</v>
      </c>
      <c r="D19" s="487" t="str">
        <f>VLOOKUP(C19,'Sales Master'!B$3:D$537,2,)</f>
        <v>Mango Puree 芒果酱</v>
      </c>
      <c r="E19" s="487"/>
      <c r="F19" s="487"/>
      <c r="G19" s="76">
        <v>1</v>
      </c>
      <c r="H19" s="247" t="str">
        <f>VLOOKUP(C19,'Sales Master'!$B$3:$F$2420,5,0)</f>
        <v>1 KG/ Box盒</v>
      </c>
      <c r="I19" s="513" t="str">
        <f>VLOOKUP(C19,'Sales Master'!$B$3:$E$2420,4,0)</f>
        <v>DO!</v>
      </c>
      <c r="J19" s="513"/>
      <c r="K19" s="83">
        <f>VLOOKUP(C19,'Sales Master'!B$3:I$537,8,0)</f>
        <v>7</v>
      </c>
      <c r="L19" s="84">
        <f>K19*G19</f>
        <v>7</v>
      </c>
      <c r="N19" s="145">
        <f>VLOOKUP(C19,'Sales Master'!$B$3:$DA$2279,104,0)</f>
        <v>2.15</v>
      </c>
      <c r="O19" s="145">
        <f>K19-N19</f>
        <v>4.8499999999999996</v>
      </c>
      <c r="P19" s="145">
        <f>O19*G19</f>
        <v>4.8499999999999996</v>
      </c>
      <c r="Q19" s="63"/>
      <c r="R19" s="63"/>
    </row>
    <row r="20" spans="1:18" ht="20.149999999999999" customHeight="1" x14ac:dyDescent="0.45">
      <c r="A20" s="65"/>
      <c r="B20" s="58">
        <v>520699</v>
      </c>
      <c r="C20" s="212" t="str">
        <f>VLOOKUP(B20,'Sales Master'!A$3:B$537,2,0)</f>
        <v>M1013</v>
      </c>
      <c r="D20" s="487" t="str">
        <f>VLOOKUP(C20,'Sales Master'!B$3:D$537,2,)</f>
        <v>Bobo ChaCha Cubes 摩摩喳喳</v>
      </c>
      <c r="E20" s="487"/>
      <c r="F20" s="487"/>
      <c r="G20" s="76">
        <v>1</v>
      </c>
      <c r="H20" s="247" t="str">
        <f>VLOOKUP(C20,'Sales Master'!$B$3:$F$2420,5,0)</f>
        <v>800 GM/ Bag包</v>
      </c>
      <c r="I20" s="513" t="str">
        <f>VLOOKUP(C20,'Sales Master'!$B$3:$E$2420,4,0)</f>
        <v>DO!</v>
      </c>
      <c r="J20" s="513"/>
      <c r="K20" s="83">
        <f>VLOOKUP(C20,'Sales Master'!B$3:I$537,8,0)</f>
        <v>7</v>
      </c>
      <c r="L20" s="84">
        <f t="shared" ref="L20" si="3">K20*G20</f>
        <v>7</v>
      </c>
      <c r="N20" s="145">
        <f>VLOOKUP(C20,'Sales Master'!$B$3:$DA$2279,104,0)</f>
        <v>0.89</v>
      </c>
      <c r="O20" s="145">
        <f>K20-N20</f>
        <v>6.11</v>
      </c>
      <c r="P20" s="145">
        <f>O20*G20</f>
        <v>6.11</v>
      </c>
      <c r="Q20" s="63"/>
      <c r="R20" s="63"/>
    </row>
    <row r="21" spans="1:18" ht="20.149999999999999" customHeight="1" x14ac:dyDescent="0.45">
      <c r="A21" s="65"/>
      <c r="B21" s="58">
        <v>520695</v>
      </c>
      <c r="C21" s="212" t="str">
        <f>VLOOKUP(B21,'Sales Master'!A$3:B$537,2,0)</f>
        <v>P3001B</v>
      </c>
      <c r="D21" s="487" t="str">
        <f>VLOOKUP(C21,'Sales Master'!B$3:D$537,2,)</f>
        <v>Atap Seeds in Syrup 亚嗒子</v>
      </c>
      <c r="E21" s="487"/>
      <c r="F21" s="487"/>
      <c r="G21" s="76">
        <v>2</v>
      </c>
      <c r="H21" s="247" t="str">
        <f>VLOOKUP(C21,'Sales Master'!$B$3:$F$2420,5,0)</f>
        <v>NW(1.6:0.6) 2.2kg/ Bag包</v>
      </c>
      <c r="I21" s="513" t="str">
        <f>VLOOKUP(C21,'Sales Master'!$B$3:$E$2420,4,0)</f>
        <v>DO!</v>
      </c>
      <c r="J21" s="513"/>
      <c r="K21" s="83">
        <f>VLOOKUP(C21,'Sales Master'!B$3:I$537,8,0)</f>
        <v>10</v>
      </c>
      <c r="L21" s="84">
        <f>K21*G21</f>
        <v>20</v>
      </c>
      <c r="N21" s="145">
        <f>VLOOKUP(C21,'Sales Master'!$B$3:$DA$2279,104,0)</f>
        <v>7.3</v>
      </c>
      <c r="O21" s="145">
        <f t="shared" ref="O21:O31" si="4">K21-N21</f>
        <v>2.7</v>
      </c>
      <c r="P21" s="145">
        <f t="shared" ref="P21:P31" si="5">O21*G21</f>
        <v>5.4</v>
      </c>
      <c r="Q21" s="63"/>
      <c r="R21" s="63"/>
    </row>
    <row r="22" spans="1:18" ht="20.149999999999999" customHeight="1" x14ac:dyDescent="0.45">
      <c r="A22" s="65"/>
      <c r="B22" s="58">
        <v>520721</v>
      </c>
      <c r="C22" s="212" t="str">
        <f>VLOOKUP(B22,'Sales Master'!A$3:B$537,2,0)</f>
        <v>P3004A</v>
      </c>
      <c r="D22" s="487" t="str">
        <f>VLOOKUP(C22,'Sales Master'!B$3:D$537,2,)</f>
        <v>GingKo Nut (Peel off) 白果仁</v>
      </c>
      <c r="E22" s="487"/>
      <c r="F22" s="487"/>
      <c r="G22" s="76">
        <v>2</v>
      </c>
      <c r="H22" s="247" t="str">
        <f>VLOOKUP(C22,'Sales Master'!$B$3:$F$2420,5,0)</f>
        <v>1 KG (500 GM X 2)</v>
      </c>
      <c r="I22" s="513" t="str">
        <f>VLOOKUP(C22,'Sales Master'!$B$3:$E$2420,4,0)</f>
        <v>-</v>
      </c>
      <c r="J22" s="513"/>
      <c r="K22" s="83">
        <f>VLOOKUP(C22,'Sales Master'!B$3:I$537,8,0)</f>
        <v>4.5</v>
      </c>
      <c r="L22" s="84">
        <f t="shared" ref="L22" si="6">K22*G22</f>
        <v>9</v>
      </c>
      <c r="N22" s="145">
        <f>VLOOKUP(C22,'Sales Master'!$B$3:$DA$2279,104,0)</f>
        <v>3</v>
      </c>
      <c r="O22" s="145">
        <f>K22-N22</f>
        <v>1.5</v>
      </c>
      <c r="P22" s="145">
        <f>O22*G22</f>
        <v>3</v>
      </c>
      <c r="Q22" s="63"/>
      <c r="R22" s="63"/>
    </row>
    <row r="23" spans="1:18" ht="20.149999999999999" customHeight="1" x14ac:dyDescent="0.45">
      <c r="A23" s="65"/>
      <c r="B23" s="58">
        <v>520738</v>
      </c>
      <c r="C23" s="212" t="str">
        <f>VLOOKUP(B23,'Sales Master'!A$3:B$537,2,0)</f>
        <v>P3005A</v>
      </c>
      <c r="D23" s="487" t="str">
        <f>VLOOKUP(C23,'Sales Master'!B$3:D$537,2,)</f>
        <v>Red Bean 红豆 (5.5 mm)</v>
      </c>
      <c r="E23" s="487"/>
      <c r="F23" s="487"/>
      <c r="G23" s="76">
        <v>2</v>
      </c>
      <c r="H23" s="247" t="str">
        <f>VLOOKUP(C23,'Sales Master'!$B$3:$F$2420,5,0)</f>
        <v>5 KG</v>
      </c>
      <c r="I23" s="513" t="str">
        <f>VLOOKUP(C23,'Sales Master'!$B$3:$E$2420,4,0)</f>
        <v>-</v>
      </c>
      <c r="J23" s="513"/>
      <c r="K23" s="83">
        <f>VLOOKUP(C23,'Sales Master'!B$3:I$537,8,0)</f>
        <v>17.5</v>
      </c>
      <c r="L23" s="84">
        <f>K23*G23</f>
        <v>35</v>
      </c>
      <c r="N23" s="145">
        <f>VLOOKUP(C23,'Sales Master'!$B$3:$DA$2279,104,0)</f>
        <v>12.5</v>
      </c>
      <c r="O23" s="145">
        <f>K23-N23</f>
        <v>5</v>
      </c>
      <c r="P23" s="145">
        <f>O23*G23</f>
        <v>10</v>
      </c>
      <c r="Q23" s="63"/>
      <c r="R23" s="63"/>
    </row>
    <row r="24" spans="1:18" ht="20.149999999999999" customHeight="1" x14ac:dyDescent="0.45">
      <c r="A24" s="65"/>
      <c r="B24" s="58">
        <v>520724</v>
      </c>
      <c r="C24" s="212" t="str">
        <f>VLOOKUP(B24,'Sales Master'!A$3:B$537,2,0)</f>
        <v>P3009A</v>
      </c>
      <c r="D24" s="487" t="str">
        <f>VLOOKUP(C24,'Sales Master'!B$3:D$537,2,)</f>
        <v>Green Bean 绿豆</v>
      </c>
      <c r="E24" s="487"/>
      <c r="F24" s="487"/>
      <c r="G24" s="76">
        <v>1</v>
      </c>
      <c r="H24" s="247" t="str">
        <f>VLOOKUP(C24,'Sales Master'!$B$3:$F$2420,5,0)</f>
        <v>5 KG</v>
      </c>
      <c r="I24" s="513" t="str">
        <f>VLOOKUP(C24,'Sales Master'!$B$3:$E$2420,4,0)</f>
        <v>-</v>
      </c>
      <c r="J24" s="513"/>
      <c r="K24" s="83">
        <f>VLOOKUP(C24,'Sales Master'!B$3:I$537,8,0)</f>
        <v>13</v>
      </c>
      <c r="L24" s="84">
        <f t="shared" ref="L24" si="7">K24*G24</f>
        <v>13</v>
      </c>
      <c r="N24" s="145">
        <f>VLOOKUP(C24,'Sales Master'!$B$3:$DA$2279,104,0)</f>
        <v>8.75</v>
      </c>
      <c r="O24" s="145">
        <f>K24-N24</f>
        <v>4.25</v>
      </c>
      <c r="P24" s="145">
        <f>O24*G24</f>
        <v>4.25</v>
      </c>
      <c r="Q24" s="63"/>
      <c r="R24" s="63"/>
    </row>
    <row r="25" spans="1:18" ht="20.149999999999999" customHeight="1" x14ac:dyDescent="0.45">
      <c r="A25" s="65"/>
      <c r="B25" s="58">
        <v>520785</v>
      </c>
      <c r="C25" s="212" t="str">
        <f>VLOOKUP(B25,'Sales Master'!A$3:B$537,2,0)</f>
        <v>P3012A</v>
      </c>
      <c r="D25" s="487" t="str">
        <f>VLOOKUP(C25,'Sales Master'!B$3:D$537,2,)</f>
        <v>Split Green Mung Bean 豆爽</v>
      </c>
      <c r="E25" s="487"/>
      <c r="F25" s="487"/>
      <c r="G25" s="76">
        <v>1</v>
      </c>
      <c r="H25" s="247" t="str">
        <f>VLOOKUP(C25,'Sales Master'!$B$3:$F$2420,5,0)</f>
        <v>5 KG</v>
      </c>
      <c r="I25" s="513" t="str">
        <f>VLOOKUP(C25,'Sales Master'!$B$3:$E$2420,4,0)</f>
        <v>-</v>
      </c>
      <c r="J25" s="513"/>
      <c r="K25" s="83">
        <f>VLOOKUP(C25,'Sales Master'!B$3:I$537,8,0)</f>
        <v>18</v>
      </c>
      <c r="L25" s="84">
        <f t="shared" ref="L25" si="8">K25*G25</f>
        <v>18</v>
      </c>
      <c r="N25" s="145">
        <f>VLOOKUP(C25,'Sales Master'!$B$3:$DA$2279,104,0)</f>
        <v>12.833333333333334</v>
      </c>
      <c r="O25" s="145">
        <f>K25-N25</f>
        <v>5.1666666666666661</v>
      </c>
      <c r="P25" s="145">
        <f>O25*G25</f>
        <v>5.1666666666666661</v>
      </c>
      <c r="Q25" s="63"/>
      <c r="R25" s="63"/>
    </row>
    <row r="26" spans="1:18" ht="20.149999999999999" customHeight="1" x14ac:dyDescent="0.45">
      <c r="A26" s="65"/>
      <c r="B26" s="58">
        <v>520696</v>
      </c>
      <c r="C26" s="212" t="str">
        <f>VLOOKUP(B26,'Sales Master'!A$3:B$537,2,0)</f>
        <v>P3016A</v>
      </c>
      <c r="D26" s="487" t="str">
        <f>VLOOKUP(C26,'Sales Master'!B$3:D$537,2,)</f>
        <v>Pearl Barley 薏米</v>
      </c>
      <c r="E26" s="487"/>
      <c r="F26" s="487"/>
      <c r="G26" s="76">
        <v>1</v>
      </c>
      <c r="H26" s="247" t="str">
        <f>VLOOKUP(C26,'Sales Master'!$B$3:$F$2420,5,0)</f>
        <v>5 KG</v>
      </c>
      <c r="I26" s="513" t="str">
        <f>VLOOKUP(C26,'Sales Master'!$B$3:$E$2420,4,0)</f>
        <v>-</v>
      </c>
      <c r="J26" s="513"/>
      <c r="K26" s="83">
        <f>VLOOKUP(C26,'Sales Master'!B$3:I$537,8,0)</f>
        <v>10</v>
      </c>
      <c r="L26" s="84">
        <f t="shared" ref="L26" si="9">K26*G26</f>
        <v>10</v>
      </c>
      <c r="N26" s="145">
        <f>VLOOKUP(C26,'Sales Master'!$B$3:$DA$2279,104,0)</f>
        <v>7.6</v>
      </c>
      <c r="O26" s="145">
        <f t="shared" si="4"/>
        <v>2.4000000000000004</v>
      </c>
      <c r="P26" s="145">
        <f t="shared" si="5"/>
        <v>2.4000000000000004</v>
      </c>
      <c r="Q26" s="63"/>
      <c r="R26" s="63"/>
    </row>
    <row r="27" spans="1:18" ht="20.149999999999999" customHeight="1" x14ac:dyDescent="0.45">
      <c r="A27" s="65"/>
      <c r="B27" s="58">
        <v>520728</v>
      </c>
      <c r="C27" s="212" t="str">
        <f>VLOOKUP(B27,'Sales Master'!A$3:B$537,2,0)</f>
        <v>P4010</v>
      </c>
      <c r="D27" s="487" t="str">
        <f>VLOOKUP(C27,'Sales Master'!B$3:D$537,2,)</f>
        <v>Lychee in Syrup 荔枝</v>
      </c>
      <c r="E27" s="487"/>
      <c r="F27" s="487"/>
      <c r="G27" s="76">
        <v>1</v>
      </c>
      <c r="H27" s="247" t="str">
        <f>VLOOKUP(C27,'Sales Master'!$B$3:$F$2420,5,0)</f>
        <v>12can/箱</v>
      </c>
      <c r="I27" s="513" t="str">
        <f>VLOOKUP(C27,'Sales Master'!$B$3:$E$2420,4,0)</f>
        <v>MiLi</v>
      </c>
      <c r="J27" s="513"/>
      <c r="K27" s="83">
        <f>VLOOKUP(C27,'Sales Master'!B$3:I$537,8,0)</f>
        <v>26.5</v>
      </c>
      <c r="L27" s="84">
        <f>K27*G27</f>
        <v>26.5</v>
      </c>
      <c r="N27" s="145">
        <f>VLOOKUP(C27,'Sales Master'!$B$3:$DA$2279,104,0)</f>
        <v>20</v>
      </c>
      <c r="O27" s="145">
        <f>K27-N27</f>
        <v>6.5</v>
      </c>
      <c r="P27" s="145">
        <f>O27*G27</f>
        <v>6.5</v>
      </c>
      <c r="Q27" s="63"/>
      <c r="R27" s="63"/>
    </row>
    <row r="28" spans="1:18" ht="20.149999999999999" customHeight="1" x14ac:dyDescent="0.45">
      <c r="A28" s="65"/>
      <c r="B28" s="58">
        <v>520711</v>
      </c>
      <c r="C28" s="212" t="str">
        <f>VLOOKUP(B28,'Sales Master'!A$3:B$537,2,0)</f>
        <v>P4014</v>
      </c>
      <c r="D28" s="487" t="str">
        <f>VLOOKUP(C28,'Sales Master'!B$3:D$537,2,)</f>
        <v>Cream Corn 玉米浆</v>
      </c>
      <c r="E28" s="487"/>
      <c r="F28" s="487"/>
      <c r="G28" s="76">
        <v>1</v>
      </c>
      <c r="H28" s="247" t="str">
        <f>VLOOKUP(C28,'Sales Master'!$B$3:$F$2420,5,0)</f>
        <v>410 GM x 24/ Ctn箱</v>
      </c>
      <c r="I28" s="513" t="str">
        <f>VLOOKUP(C28,'Sales Master'!$B$3:$E$2420,4,0)</f>
        <v>Statue</v>
      </c>
      <c r="J28" s="513"/>
      <c r="K28" s="83">
        <f>VLOOKUP(C28,'Sales Master'!B$3:I$537,8,0)</f>
        <v>23</v>
      </c>
      <c r="L28" s="84">
        <f>K28*G28</f>
        <v>23</v>
      </c>
      <c r="N28" s="145">
        <f>VLOOKUP(C28,'Sales Master'!$B$3:$DA$2279,104,0)</f>
        <v>18</v>
      </c>
      <c r="O28" s="145">
        <f>K28-N28</f>
        <v>5</v>
      </c>
      <c r="P28" s="145">
        <f>O28*G28</f>
        <v>5</v>
      </c>
      <c r="Q28" s="63"/>
      <c r="R28" s="63"/>
    </row>
    <row r="29" spans="1:18" ht="20.149999999999999" customHeight="1" x14ac:dyDescent="0.45">
      <c r="A29" s="65"/>
      <c r="B29" s="58">
        <v>520733</v>
      </c>
      <c r="C29" s="212" t="str">
        <f>VLOOKUP(B29,'Sales Master'!A$3:B$537,2,0)</f>
        <v>P6002A</v>
      </c>
      <c r="D29" s="487" t="str">
        <f>VLOOKUP(C29,'Sales Master'!B$3:D$537,2,)</f>
        <v>Skinless Sweet Potato 去皮番薯</v>
      </c>
      <c r="E29" s="487"/>
      <c r="F29" s="487"/>
      <c r="G29" s="76">
        <v>3</v>
      </c>
      <c r="H29" s="247" t="str">
        <f>VLOOKUP(C29,'Sales Master'!$B$3:$F$2420,5,0)</f>
        <v>5 KG</v>
      </c>
      <c r="I29" s="513" t="str">
        <f>VLOOKUP(C29,'Sales Master'!$B$3:$E$2420,4,0)</f>
        <v>Malaysia</v>
      </c>
      <c r="J29" s="513"/>
      <c r="K29" s="83">
        <f>VLOOKUP(C29,'Sales Master'!B$3:I$537,8,0)</f>
        <v>18</v>
      </c>
      <c r="L29" s="84">
        <f t="shared" ref="L29" si="10">K29*G29</f>
        <v>54</v>
      </c>
      <c r="N29" s="145">
        <f>VLOOKUP(C29,'Sales Master'!$B$3:$DA$2279,104,0)</f>
        <v>9</v>
      </c>
      <c r="O29" s="145">
        <f>K29-N29</f>
        <v>9</v>
      </c>
      <c r="P29" s="145">
        <f>O29*G29</f>
        <v>27</v>
      </c>
      <c r="Q29" s="63"/>
      <c r="R29" s="63"/>
    </row>
    <row r="30" spans="1:18" ht="20.149999999999999" customHeight="1" x14ac:dyDescent="0.45">
      <c r="A30" s="65"/>
      <c r="B30" s="58">
        <v>520792</v>
      </c>
      <c r="C30" s="212" t="str">
        <f>VLOOKUP(B30,'Sales Master'!A$3:B$537,2,0)</f>
        <v>P6014</v>
      </c>
      <c r="D30" s="487" t="str">
        <f>VLOOKUP(C30,'Sales Master'!B$3:D$537,2,)</f>
        <v>Yu Tiao 油条</v>
      </c>
      <c r="E30" s="487"/>
      <c r="F30" s="487"/>
      <c r="G30" s="76">
        <v>2</v>
      </c>
      <c r="H30" s="247" t="str">
        <f>VLOOKUP(C30,'Sales Master'!$B$3:$F$2420,5,0)</f>
        <v>10 PCS/PKT</v>
      </c>
      <c r="I30" s="513" t="str">
        <f>VLOOKUP(C30,'Sales Master'!$B$3:$E$2420,4,0)</f>
        <v>-</v>
      </c>
      <c r="J30" s="513"/>
      <c r="K30" s="83">
        <f>VLOOKUP(C30,'Sales Master'!B$3:I$537,8,0)</f>
        <v>5.5</v>
      </c>
      <c r="L30" s="84">
        <f>K30*G30</f>
        <v>11</v>
      </c>
      <c r="N30" s="145">
        <f>VLOOKUP(C30,'Sales Master'!$B$3:$DA$2279,104,0)</f>
        <v>0.45</v>
      </c>
      <c r="O30" s="145">
        <f>K30-N30</f>
        <v>5.05</v>
      </c>
      <c r="P30" s="145">
        <f>O30*G30</f>
        <v>10.1</v>
      </c>
      <c r="Q30" s="63"/>
      <c r="R30" s="63"/>
    </row>
    <row r="31" spans="1:18" ht="20.149999999999999" customHeight="1" x14ac:dyDescent="0.45">
      <c r="A31" s="65"/>
      <c r="B31" s="58">
        <v>520740</v>
      </c>
      <c r="C31" s="212" t="str">
        <f>VLOOKUP(B31,'Sales Master'!A$3:B$537,2,0)</f>
        <v>M1037A</v>
      </c>
      <c r="D31" s="487" t="str">
        <f>VLOOKUP(C31,'Sales Master'!B$3:D$537,2,)</f>
        <v>Rock Sugar Syrup 冰糖浆</v>
      </c>
      <c r="E31" s="487"/>
      <c r="F31" s="487"/>
      <c r="G31" s="76">
        <v>4</v>
      </c>
      <c r="H31" s="247" t="str">
        <f>VLOOKUP(C31,'Sales Master'!$B$3:$F$2420,5,0)</f>
        <v>5 KG</v>
      </c>
      <c r="I31" s="513" t="str">
        <f>VLOOKUP(C31,'Sales Master'!$B$3:$E$2420,4,0)</f>
        <v>DO!</v>
      </c>
      <c r="J31" s="513"/>
      <c r="K31" s="83">
        <f>VLOOKUP(C31,'Sales Master'!B$3:I$537,8,0)</f>
        <v>11</v>
      </c>
      <c r="L31" s="84">
        <f t="shared" ref="L31" si="11">K31*G31</f>
        <v>44</v>
      </c>
      <c r="N31" s="145">
        <f>VLOOKUP(C31,'Sales Master'!$B$3:$DA$2279,104,0)</f>
        <v>5.86</v>
      </c>
      <c r="O31" s="145">
        <f t="shared" si="4"/>
        <v>5.14</v>
      </c>
      <c r="P31" s="145">
        <f t="shared" si="5"/>
        <v>20.56</v>
      </c>
      <c r="Q31" s="63"/>
      <c r="R31" s="63"/>
    </row>
    <row r="32" spans="1:18" ht="20.149999999999999" customHeight="1" x14ac:dyDescent="0.45">
      <c r="A32" s="65"/>
      <c r="B32" s="58"/>
      <c r="C32" s="212"/>
      <c r="D32" s="487"/>
      <c r="E32" s="487"/>
      <c r="F32" s="487"/>
      <c r="G32" s="76"/>
      <c r="H32" s="247"/>
      <c r="I32" s="513"/>
      <c r="J32" s="513"/>
      <c r="K32" s="83"/>
      <c r="L32" s="84"/>
      <c r="N32" s="145"/>
      <c r="O32" s="145"/>
      <c r="P32" s="145"/>
      <c r="Q32" s="63"/>
      <c r="R32" s="63"/>
    </row>
    <row r="33" spans="1:18" ht="20.149999999999999" customHeight="1" x14ac:dyDescent="0.45">
      <c r="A33" s="65"/>
      <c r="B33" s="58"/>
      <c r="C33" s="212"/>
      <c r="D33" s="487"/>
      <c r="E33" s="487"/>
      <c r="F33" s="487"/>
      <c r="G33" s="76"/>
      <c r="H33" s="247"/>
      <c r="I33" s="513"/>
      <c r="J33" s="513"/>
      <c r="K33" s="83"/>
      <c r="L33" s="84"/>
      <c r="N33" s="145"/>
      <c r="O33" s="145"/>
      <c r="P33" s="145"/>
      <c r="Q33" s="63"/>
      <c r="R33" s="63"/>
    </row>
    <row r="34" spans="1:18" ht="20.149999999999999" customHeight="1" x14ac:dyDescent="0.45">
      <c r="A34" s="65"/>
      <c r="B34" s="58"/>
      <c r="C34" s="212"/>
      <c r="D34" s="487"/>
      <c r="E34" s="487"/>
      <c r="F34" s="487"/>
      <c r="G34" s="76"/>
      <c r="H34" s="247"/>
      <c r="I34" s="513"/>
      <c r="J34" s="513"/>
      <c r="K34" s="83"/>
      <c r="L34" s="84"/>
      <c r="N34" s="145"/>
      <c r="O34" s="145"/>
      <c r="P34" s="145"/>
      <c r="Q34" s="63"/>
      <c r="R34" s="63"/>
    </row>
    <row r="35" spans="1:18" ht="20.149999999999999" customHeight="1" x14ac:dyDescent="0.45">
      <c r="A35" s="65"/>
      <c r="B35" s="58"/>
      <c r="C35" s="212"/>
      <c r="G35" s="76"/>
      <c r="H35" s="247"/>
      <c r="I35" s="209"/>
      <c r="J35" s="209"/>
      <c r="K35" s="83"/>
      <c r="L35" s="84"/>
      <c r="N35" s="145"/>
      <c r="O35" s="145"/>
      <c r="P35" s="145"/>
      <c r="Q35" s="63"/>
      <c r="R35" s="63"/>
    </row>
    <row r="36" spans="1:18" ht="20.149999999999999" customHeight="1" x14ac:dyDescent="0.45">
      <c r="A36" s="65"/>
      <c r="B36" s="58"/>
      <c r="C36" s="212"/>
      <c r="D36" s="487"/>
      <c r="E36" s="487"/>
      <c r="F36" s="487"/>
      <c r="G36" s="76"/>
      <c r="H36" s="247"/>
      <c r="I36" s="513"/>
      <c r="J36" s="513"/>
      <c r="K36" s="83"/>
      <c r="L36" s="96"/>
      <c r="N36" s="145"/>
      <c r="O36" s="145"/>
      <c r="P36" s="145"/>
      <c r="Q36" s="63"/>
      <c r="R36" s="63"/>
    </row>
    <row r="37" spans="1:18" ht="20.149999999999999" customHeight="1" x14ac:dyDescent="0.45">
      <c r="A37" s="65"/>
      <c r="B37" s="139"/>
      <c r="C37" s="129"/>
      <c r="D37" s="140"/>
      <c r="E37" s="140"/>
      <c r="F37" s="140"/>
      <c r="G37" s="129"/>
      <c r="H37" s="138"/>
      <c r="I37" s="517"/>
      <c r="J37" s="517"/>
      <c r="K37" s="95"/>
      <c r="L37" s="98"/>
      <c r="M37" s="63"/>
      <c r="N37" s="63"/>
      <c r="Q37" s="63"/>
    </row>
    <row r="38" spans="1:18" ht="20.149999999999999" customHeight="1" thickBot="1" x14ac:dyDescent="0.5">
      <c r="A38" s="65"/>
      <c r="B38" s="141"/>
      <c r="C38" s="76"/>
      <c r="D38" s="65"/>
      <c r="E38" s="65"/>
      <c r="F38" s="65"/>
      <c r="G38" s="76"/>
      <c r="H38" s="82"/>
      <c r="I38" s="76"/>
      <c r="J38" s="76"/>
      <c r="K38" s="83"/>
      <c r="L38" s="84"/>
    </row>
    <row r="39" spans="1:18" ht="20.149999999999999" customHeight="1" x14ac:dyDescent="0.45">
      <c r="A39" s="65"/>
      <c r="B39" s="142" t="s">
        <v>16</v>
      </c>
      <c r="C39" s="135"/>
      <c r="D39" s="135"/>
      <c r="E39" s="135"/>
      <c r="F39" s="135"/>
      <c r="G39" s="135"/>
      <c r="H39" s="135"/>
      <c r="I39" s="135"/>
      <c r="J39" s="515" t="s">
        <v>13</v>
      </c>
      <c r="K39" s="516"/>
      <c r="L39" s="143">
        <f>SUM(L18:L38)</f>
        <v>292.5</v>
      </c>
      <c r="M39" s="63">
        <f>SUM(P18:P38)</f>
        <v>120.45666666666666</v>
      </c>
      <c r="N39" s="133">
        <f>M39/L39</f>
        <v>0.41181766381766383</v>
      </c>
      <c r="Q39" s="133"/>
    </row>
    <row r="40" spans="1:18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v>0</v>
      </c>
      <c r="M40" s="63"/>
    </row>
    <row r="41" spans="1:18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91" t="s">
        <v>19</v>
      </c>
      <c r="K41" s="492"/>
      <c r="L41" s="41">
        <f>L39-L40</f>
        <v>292.5</v>
      </c>
    </row>
    <row r="42" spans="1:18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26.324999999999999</v>
      </c>
    </row>
    <row r="43" spans="1:18" ht="20.149999999999999" customHeight="1" thickBot="1" x14ac:dyDescent="0.5">
      <c r="B43" s="10" t="s">
        <v>676</v>
      </c>
      <c r="C43" s="6"/>
      <c r="D43" s="6"/>
      <c r="E43" s="6"/>
      <c r="F43" s="6"/>
      <c r="G43" s="6"/>
      <c r="H43" s="6"/>
      <c r="I43" s="6"/>
      <c r="J43" s="485" t="s">
        <v>21</v>
      </c>
      <c r="K43" s="486"/>
      <c r="L43" s="43">
        <f>L41+L42</f>
        <v>318.82499999999999</v>
      </c>
    </row>
    <row r="44" spans="1:18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1:18" ht="18" customHeight="1" x14ac:dyDescent="0.45">
      <c r="B45" s="144" t="s">
        <v>666</v>
      </c>
      <c r="L45" s="37"/>
    </row>
    <row r="46" spans="1:18" ht="18" customHeight="1" x14ac:dyDescent="0.45">
      <c r="B46" s="36"/>
      <c r="L46" s="37"/>
      <c r="N46" s="176">
        <v>44641</v>
      </c>
      <c r="O46" s="19">
        <v>287.5</v>
      </c>
      <c r="P46" s="19">
        <v>54.36</v>
      </c>
      <c r="Q46" s="133">
        <f>P46/O46</f>
        <v>0.18907826086956522</v>
      </c>
    </row>
    <row r="47" spans="1:18" ht="18" customHeight="1" x14ac:dyDescent="0.45">
      <c r="B47" s="36"/>
      <c r="L47" s="37"/>
      <c r="N47" s="176"/>
      <c r="Q47" s="133"/>
    </row>
    <row r="48" spans="1:18" ht="18" customHeight="1" x14ac:dyDescent="0.45">
      <c r="B48" s="36"/>
      <c r="L48" s="37"/>
      <c r="N48" s="176"/>
      <c r="Q48" s="133"/>
    </row>
    <row r="49" spans="2:17" ht="18" customHeight="1" x14ac:dyDescent="0.45">
      <c r="B49" s="36"/>
      <c r="L49" s="37"/>
      <c r="N49" s="176"/>
      <c r="Q49" s="133"/>
    </row>
    <row r="50" spans="2:17" ht="18" customHeight="1" x14ac:dyDescent="0.45">
      <c r="B50" s="44"/>
      <c r="C50" s="45"/>
      <c r="D50" s="45"/>
      <c r="J50" s="45"/>
      <c r="K50" s="45"/>
      <c r="L50" s="46"/>
    </row>
    <row r="51" spans="2:17" ht="20.149999999999999" customHeight="1" x14ac:dyDescent="0.45">
      <c r="B51" s="36" t="s">
        <v>25</v>
      </c>
      <c r="J51" s="19" t="s">
        <v>26</v>
      </c>
      <c r="L51" s="37"/>
    </row>
    <row r="52" spans="2:17" ht="19" thickBot="1" x14ac:dyDescent="0.5">
      <c r="B52" s="47"/>
      <c r="C52" s="48"/>
      <c r="D52" s="48"/>
      <c r="E52" s="48"/>
      <c r="F52" s="48"/>
      <c r="G52" s="48"/>
      <c r="H52" s="48"/>
      <c r="I52" s="48"/>
      <c r="J52" s="48"/>
      <c r="K52" s="48"/>
      <c r="L52" s="49"/>
    </row>
    <row r="53" spans="2:17" ht="20.5" x14ac:dyDescent="0.45">
      <c r="F53" s="201"/>
    </row>
  </sheetData>
  <mergeCells count="55">
    <mergeCell ref="I25:J25"/>
    <mergeCell ref="I27:J27"/>
    <mergeCell ref="I33:J33"/>
    <mergeCell ref="D32:F32"/>
    <mergeCell ref="D29:F29"/>
    <mergeCell ref="D33:F33"/>
    <mergeCell ref="D27:F27"/>
    <mergeCell ref="D28:F2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I20:J20"/>
    <mergeCell ref="I22:J22"/>
    <mergeCell ref="D18:F18"/>
    <mergeCell ref="I18:J18"/>
    <mergeCell ref="I30:J30"/>
    <mergeCell ref="I29:J29"/>
    <mergeCell ref="I28:J28"/>
    <mergeCell ref="D19:F19"/>
    <mergeCell ref="I19:J19"/>
    <mergeCell ref="I26:J26"/>
    <mergeCell ref="D22:F22"/>
    <mergeCell ref="D26:F26"/>
    <mergeCell ref="D25:F25"/>
    <mergeCell ref="I21:J21"/>
    <mergeCell ref="D20:F20"/>
    <mergeCell ref="D24:F24"/>
    <mergeCell ref="D23:F23"/>
    <mergeCell ref="I23:J23"/>
    <mergeCell ref="D21:F21"/>
    <mergeCell ref="J43:K43"/>
    <mergeCell ref="I37:J37"/>
    <mergeCell ref="J39:K39"/>
    <mergeCell ref="J41:K41"/>
    <mergeCell ref="I32:J32"/>
    <mergeCell ref="D30:F30"/>
    <mergeCell ref="D36:F36"/>
    <mergeCell ref="I36:J36"/>
    <mergeCell ref="I24:J24"/>
    <mergeCell ref="D34:F34"/>
    <mergeCell ref="I34:J34"/>
    <mergeCell ref="D31:F31"/>
    <mergeCell ref="I31:J31"/>
  </mergeCells>
  <hyperlinks>
    <hyperlink ref="B15" r:id="rId1" xr:uid="{AD416E53-ADDC-4DD7-8CEC-386FE917527F}"/>
  </hyperlinks>
  <pageMargins left="0.74803149606299213" right="0" top="0" bottom="0" header="0" footer="0"/>
  <pageSetup paperSize="9" scale="71" orientation="portrait" r:id="rId2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E528D-4955-4D4F-ACE0-27EB8E8EF7B6}">
  <sheetPr codeName="Sheet136">
    <tabColor rgb="FFFFC000"/>
    <pageSetUpPr fitToPage="1"/>
  </sheetPr>
  <dimension ref="B1:Q41"/>
  <sheetViews>
    <sheetView topLeftCell="A11" workbookViewId="0">
      <selection activeCell="K20" sqref="K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6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3" width="12.54296875" style="19"/>
    <col min="14" max="14" width="13.1796875" style="19" bestFit="1" customWidth="1"/>
    <col min="15" max="16384" width="12.54296875" style="19"/>
  </cols>
  <sheetData>
    <row r="1" spans="2:15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5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5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5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5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  <c r="M5" s="17"/>
    </row>
    <row r="6" spans="2:15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5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5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125</v>
      </c>
      <c r="J10" s="24" t="s">
        <v>27</v>
      </c>
      <c r="K10" s="464">
        <v>202504202</v>
      </c>
      <c r="L10" s="465"/>
    </row>
    <row r="11" spans="2:15" ht="20.149999999999999" customHeight="1" x14ac:dyDescent="0.45">
      <c r="B11" s="466" t="s">
        <v>1777</v>
      </c>
      <c r="C11" s="467"/>
      <c r="D11" s="468"/>
      <c r="E11" s="25"/>
      <c r="F11" s="469" t="str">
        <f>VLOOKUP(H10,'Delivery Location'!A$4:N$466,2,0)</f>
        <v>RED LANTERN RESTAURANT PTE LTD                  249 Sembawang Road   Singapore 758352</v>
      </c>
      <c r="G11" s="470"/>
      <c r="H11" s="471"/>
      <c r="J11" s="26" t="s">
        <v>9</v>
      </c>
      <c r="K11" s="478">
        <v>45755</v>
      </c>
      <c r="L11" s="479"/>
    </row>
    <row r="12" spans="2:15" ht="20.149999999999999" customHeight="1" x14ac:dyDescent="0.45">
      <c r="B12" s="220"/>
      <c r="C12" s="25"/>
      <c r="D12" s="22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17" t="s">
        <v>713</v>
      </c>
      <c r="O12" s="19" t="s">
        <v>1334</v>
      </c>
    </row>
    <row r="13" spans="2:15" ht="20.149999999999999" customHeight="1" x14ac:dyDescent="0.45">
      <c r="B13" s="480"/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7" t="s">
        <v>715</v>
      </c>
    </row>
    <row r="14" spans="2:15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  <c r="N14" s="17" t="s">
        <v>804</v>
      </c>
    </row>
    <row r="15" spans="2:15" ht="18" customHeight="1" thickBot="1" x14ac:dyDescent="0.5">
      <c r="B15" s="508"/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  <c r="N15" s="17" t="s">
        <v>807</v>
      </c>
    </row>
    <row r="16" spans="2:15" ht="19" thickBot="1" x14ac:dyDescent="0.5">
      <c r="J16" s="17"/>
      <c r="N16" s="17" t="s">
        <v>945</v>
      </c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28"/>
      <c r="O17" s="28"/>
    </row>
    <row r="18" spans="2:17" ht="20.149999999999999" customHeight="1" x14ac:dyDescent="0.45">
      <c r="B18" s="29"/>
      <c r="C18" s="212" t="s">
        <v>713</v>
      </c>
      <c r="D18" s="487" t="str">
        <f>VLOOKUP(C18,'Sales Master'!B$3:D$537,2,)</f>
        <v>Chendol 浆咯</v>
      </c>
      <c r="E18" s="487"/>
      <c r="F18" s="487"/>
      <c r="G18" s="76">
        <v>2</v>
      </c>
      <c r="H18" s="186" t="str">
        <f>VLOOKUP(C18,'Sales Master'!$B$3:$F$2420,5,0)</f>
        <v>NW(2.2:0.8) 3kg/ Pkt包</v>
      </c>
      <c r="I18" s="484" t="str">
        <f>VLOOKUP(C18,'Sales Master'!$B$3:$E$2420,4,0)</f>
        <v>DO!</v>
      </c>
      <c r="J18" s="484"/>
      <c r="K18" s="184">
        <f>VLOOKUP(C18,'Sales Master'!B$3:AJ$2756,35,0)</f>
        <v>8</v>
      </c>
      <c r="L18" s="84">
        <f t="shared" ref="L18" si="0">K18*G18</f>
        <v>16</v>
      </c>
      <c r="M18" s="65"/>
      <c r="N18" s="145">
        <f>VLOOKUP(C18,'Sales Master'!$B$3:$DA$2279,104,0)</f>
        <v>2.44</v>
      </c>
      <c r="O18" s="145">
        <f t="shared" ref="O18" si="1">K18-N18</f>
        <v>5.5600000000000005</v>
      </c>
      <c r="P18" s="145">
        <f t="shared" ref="P18" si="2">O18*G18</f>
        <v>11.120000000000001</v>
      </c>
      <c r="Q18" s="63"/>
    </row>
    <row r="19" spans="2:17" ht="20.149999999999999" customHeight="1" x14ac:dyDescent="0.45">
      <c r="B19" s="29"/>
      <c r="C19" s="212" t="s">
        <v>715</v>
      </c>
      <c r="D19" s="498" t="str">
        <f>VLOOKUP(C19,'Sales Master'!B$3:D$537,2,)</f>
        <v>Coconut Sugar Syrup 椰糖浆</v>
      </c>
      <c r="E19" s="498"/>
      <c r="F19" s="498"/>
      <c r="G19" s="76">
        <v>1</v>
      </c>
      <c r="H19" s="186" t="str">
        <f>VLOOKUP(C19,'Sales Master'!$B$3:$F$2420,5,0)</f>
        <v>GW: 5 KG/ Btl支</v>
      </c>
      <c r="I19" s="484" t="str">
        <f>VLOOKUP(C19,'Sales Master'!$B$3:$E$2420,4,0)</f>
        <v>DO!</v>
      </c>
      <c r="J19" s="484"/>
      <c r="K19" s="184">
        <f>VLOOKUP(C19,'Sales Master'!B$3:AJ$2756,35,0)</f>
        <v>20</v>
      </c>
      <c r="L19" s="84">
        <f t="shared" ref="L19" si="3">K19*G19</f>
        <v>20</v>
      </c>
      <c r="M19" s="65"/>
      <c r="N19" s="145">
        <f>VLOOKUP(C19,'Sales Master'!$B$3:$DA$2279,104,0)</f>
        <v>8.89</v>
      </c>
      <c r="O19" s="145">
        <f t="shared" ref="O19" si="4">K19-N19</f>
        <v>11.11</v>
      </c>
      <c r="P19" s="145">
        <f t="shared" ref="P19" si="5">O19*G19</f>
        <v>11.11</v>
      </c>
    </row>
    <row r="20" spans="2:17" ht="20.149999999999999" customHeight="1" x14ac:dyDescent="0.45">
      <c r="B20" s="29"/>
      <c r="C20" s="212" t="s">
        <v>1334</v>
      </c>
      <c r="D20" s="498" t="str">
        <f>VLOOKUP(C20,'Sales Master'!B$3:D$537,2,)</f>
        <v>Agar Agar Red Jelly 菜燕冻红</v>
      </c>
      <c r="E20" s="498"/>
      <c r="F20" s="498"/>
      <c r="G20" s="76">
        <v>2</v>
      </c>
      <c r="H20" s="186" t="str">
        <f>VLOOKUP(C20,'Sales Master'!$B$3:$F$2420,5,0)</f>
        <v>900 GM</v>
      </c>
      <c r="I20" s="484" t="str">
        <f>VLOOKUP(C20,'Sales Master'!$B$3:$E$2420,4,0)</f>
        <v>-</v>
      </c>
      <c r="J20" s="484"/>
      <c r="K20" s="184">
        <f>VLOOKUP(C20,'Sales Master'!B$3:AJ$2756,35,0)</f>
        <v>3.4</v>
      </c>
      <c r="L20" s="84">
        <f>K20*G20</f>
        <v>6.8</v>
      </c>
      <c r="M20" s="65"/>
      <c r="N20" s="145">
        <f>VLOOKUP(C20,'Sales Master'!$B$3:$DA$2279,104,0)</f>
        <v>2.4</v>
      </c>
      <c r="O20" s="145">
        <f>K20-N20</f>
        <v>1</v>
      </c>
      <c r="P20" s="145">
        <f>O20*G20</f>
        <v>2</v>
      </c>
    </row>
    <row r="21" spans="2:17" ht="20.149999999999999" customHeight="1" x14ac:dyDescent="0.45">
      <c r="B21" s="29"/>
      <c r="C21" s="212" t="s">
        <v>804</v>
      </c>
      <c r="D21" s="498" t="str">
        <f>VLOOKUP(C21,'Sales Master'!B$3:D$537,2,)</f>
        <v>Atap Seeds in Syrup 亚嗒子</v>
      </c>
      <c r="E21" s="498"/>
      <c r="F21" s="498"/>
      <c r="G21" s="76">
        <v>2</v>
      </c>
      <c r="H21" s="186" t="str">
        <f>VLOOKUP(C21,'Sales Master'!$B$3:$F$2420,5,0)</f>
        <v>NW(2.1:0.9) 3kg/ Bag包</v>
      </c>
      <c r="I21" s="484" t="str">
        <f>VLOOKUP(C21,'Sales Master'!$B$3:$E$2420,4,0)</f>
        <v>DO!</v>
      </c>
      <c r="J21" s="484"/>
      <c r="K21" s="184">
        <f>VLOOKUP(C21,'Sales Master'!B$3:AJ$2756,35,0)</f>
        <v>12.5</v>
      </c>
      <c r="L21" s="84">
        <f>K21*G21</f>
        <v>25</v>
      </c>
      <c r="M21" s="65"/>
      <c r="N21" s="145">
        <f>VLOOKUP(C21,'Sales Master'!$B$3:$DA$2279,104,0)</f>
        <v>9.6</v>
      </c>
      <c r="O21" s="145">
        <f>K21-N21</f>
        <v>2.9000000000000004</v>
      </c>
      <c r="P21" s="145">
        <f>O21*G21</f>
        <v>5.8000000000000007</v>
      </c>
    </row>
    <row r="22" spans="2:17" ht="20.149999999999999" customHeight="1" x14ac:dyDescent="0.45">
      <c r="B22" s="29"/>
      <c r="C22" s="212" t="s">
        <v>807</v>
      </c>
      <c r="D22" s="498" t="str">
        <f>VLOOKUP(C22,'Sales Master'!B$3:D$537,2,)</f>
        <v>Chin Chow  仙草</v>
      </c>
      <c r="E22" s="498"/>
      <c r="F22" s="498"/>
      <c r="G22" s="76">
        <v>3</v>
      </c>
      <c r="H22" s="186" t="str">
        <f>VLOOKUP(C22,'Sales Master'!$B$3:$F$2420,5,0)</f>
        <v>4 KG/ Pkt包</v>
      </c>
      <c r="I22" s="484" t="str">
        <f>VLOOKUP(C22,'Sales Master'!$B$3:$E$2420,4,0)</f>
        <v>TSM</v>
      </c>
      <c r="J22" s="484"/>
      <c r="K22" s="184">
        <f>VLOOKUP(C22,'Sales Master'!B$3:AJ$2756,35,0)</f>
        <v>6</v>
      </c>
      <c r="L22" s="84">
        <f t="shared" ref="L22" si="6">K22*G22</f>
        <v>18</v>
      </c>
      <c r="M22" s="65"/>
      <c r="N22" s="145">
        <f>VLOOKUP(C22,'Sales Master'!$B$3:$DA$2279,104,0)</f>
        <v>4</v>
      </c>
      <c r="O22" s="145">
        <f t="shared" ref="O22" si="7">K22-N22</f>
        <v>2</v>
      </c>
      <c r="P22" s="145">
        <f t="shared" ref="P22" si="8">O22*G22</f>
        <v>6</v>
      </c>
    </row>
    <row r="23" spans="2:17" ht="20.149999999999999" customHeight="1" x14ac:dyDescent="0.45">
      <c r="B23" s="29"/>
      <c r="C23" s="212" t="s">
        <v>945</v>
      </c>
      <c r="D23" s="487" t="str">
        <f>VLOOKUP(C23,'Sales Master'!B$3:D$537,2,)</f>
        <v>Canned Red Bean 罐头红豆</v>
      </c>
      <c r="E23" s="487"/>
      <c r="F23" s="487"/>
      <c r="G23" s="76">
        <v>3</v>
      </c>
      <c r="H23" s="186" t="str">
        <f>VLOOKUP(C23,'Sales Master'!$B$3:$F$2420,5,0)</f>
        <v xml:space="preserve">3.3 KG/ Can </v>
      </c>
      <c r="I23" s="484" t="str">
        <f>VLOOKUP(C23,'Sales Master'!$B$3:$E$2420,4,0)</f>
        <v>Joy</v>
      </c>
      <c r="J23" s="484"/>
      <c r="K23" s="184">
        <f>VLOOKUP(C23,'Sales Master'!B$3:AJ$2756,35,0)</f>
        <v>11.5</v>
      </c>
      <c r="L23" s="84">
        <f t="shared" ref="L23" si="9">K23*G23</f>
        <v>34.5</v>
      </c>
      <c r="M23" s="65"/>
      <c r="N23" s="145">
        <f>VLOOKUP(C23,'Sales Master'!$B$3:$DA$2279,104,0)</f>
        <v>8.3333333333333339</v>
      </c>
      <c r="O23" s="145">
        <f t="shared" ref="O23" si="10">K23-N23</f>
        <v>3.1666666666666661</v>
      </c>
      <c r="P23" s="145">
        <f t="shared" ref="P23" si="11">O23*G23</f>
        <v>9.4999999999999982</v>
      </c>
    </row>
    <row r="24" spans="2:17" ht="20.149999999999999" customHeight="1" x14ac:dyDescent="0.45">
      <c r="B24" s="58"/>
      <c r="C24" s="212"/>
      <c r="D24" s="487"/>
      <c r="E24" s="487"/>
      <c r="F24" s="487"/>
      <c r="G24" s="76"/>
      <c r="H24" s="186"/>
      <c r="I24" s="484"/>
      <c r="J24" s="484"/>
      <c r="K24" s="184"/>
      <c r="L24" s="84"/>
      <c r="M24" s="65"/>
      <c r="N24" s="145"/>
      <c r="O24" s="145"/>
      <c r="P24" s="145"/>
    </row>
    <row r="25" spans="2:17" ht="20.149999999999999" customHeight="1" x14ac:dyDescent="0.45">
      <c r="B25" s="58"/>
      <c r="C25" s="212"/>
      <c r="D25" s="487"/>
      <c r="E25" s="487"/>
      <c r="F25" s="487"/>
      <c r="G25" s="76"/>
      <c r="H25" s="186"/>
      <c r="I25" s="484"/>
      <c r="J25" s="484"/>
      <c r="K25" s="150"/>
      <c r="L25" s="84"/>
      <c r="M25" s="65"/>
      <c r="N25" s="145"/>
      <c r="O25" s="145"/>
      <c r="P25" s="145"/>
    </row>
    <row r="26" spans="2:17" ht="20.149999999999999" customHeight="1" x14ac:dyDescent="0.45">
      <c r="B26" s="58"/>
      <c r="C26" s="212"/>
      <c r="D26" s="487"/>
      <c r="E26" s="487"/>
      <c r="F26" s="487"/>
      <c r="G26" s="76"/>
      <c r="H26" s="186"/>
      <c r="I26" s="484"/>
      <c r="J26" s="484"/>
      <c r="K26" s="150"/>
      <c r="L26" s="84"/>
      <c r="M26" s="65"/>
      <c r="N26" s="145"/>
      <c r="O26" s="145"/>
      <c r="P26" s="145"/>
    </row>
    <row r="27" spans="2:17" ht="20.149999999999999" customHeight="1" x14ac:dyDescent="0.45">
      <c r="B27" s="58"/>
      <c r="C27" s="212"/>
      <c r="D27" s="147"/>
      <c r="E27" s="147"/>
      <c r="F27" s="147"/>
      <c r="G27" s="76"/>
      <c r="H27" s="196"/>
      <c r="I27" s="209"/>
      <c r="J27" s="209"/>
      <c r="K27" s="190"/>
      <c r="L27" s="84"/>
      <c r="M27" s="65"/>
      <c r="N27" s="145"/>
      <c r="O27" s="145"/>
      <c r="P27" s="145"/>
    </row>
    <row r="28" spans="2:17" ht="20.149999999999999" customHeight="1" thickBot="1" x14ac:dyDescent="0.5">
      <c r="B28" s="47"/>
      <c r="C28" s="48"/>
      <c r="D28" s="48"/>
      <c r="E28" s="48"/>
      <c r="F28" s="48"/>
      <c r="G28" s="48"/>
      <c r="H28" s="48"/>
      <c r="I28" s="48"/>
      <c r="J28" s="48"/>
      <c r="K28" s="48"/>
      <c r="L28" s="49"/>
    </row>
    <row r="29" spans="2:17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89" t="s">
        <v>13</v>
      </c>
      <c r="K29" s="490"/>
      <c r="L29" s="38">
        <f>SUM(L18:L28)</f>
        <v>120.3</v>
      </c>
      <c r="M29" s="63">
        <f>SUM(P18:P26)</f>
        <v>45.53</v>
      </c>
      <c r="N29" s="133">
        <f>M29/L29</f>
        <v>0.3784704904405653</v>
      </c>
    </row>
    <row r="30" spans="2:17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7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91" t="s">
        <v>19</v>
      </c>
      <c r="K31" s="492"/>
      <c r="L31" s="41">
        <f>L29-L30</f>
        <v>120.3</v>
      </c>
    </row>
    <row r="32" spans="2:17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10.827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85" t="s">
        <v>21</v>
      </c>
      <c r="K33" s="486"/>
      <c r="L33" s="43">
        <f>L31+L32</f>
        <v>131.12700000000001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5">
    <mergeCell ref="J33:K33"/>
    <mergeCell ref="J29:K29"/>
    <mergeCell ref="J31:K31"/>
    <mergeCell ref="D24:F24"/>
    <mergeCell ref="I24:J24"/>
    <mergeCell ref="I25:J25"/>
    <mergeCell ref="D26:F26"/>
    <mergeCell ref="I26:J26"/>
    <mergeCell ref="D25:F25"/>
    <mergeCell ref="B1:L8"/>
    <mergeCell ref="B15:D15"/>
    <mergeCell ref="B13:D13"/>
    <mergeCell ref="K13:L13"/>
    <mergeCell ref="B14:D14"/>
    <mergeCell ref="K14:L14"/>
    <mergeCell ref="K15:L15"/>
    <mergeCell ref="B11:D11"/>
    <mergeCell ref="K10:L10"/>
    <mergeCell ref="F11:H15"/>
    <mergeCell ref="K11:L11"/>
    <mergeCell ref="K12:L12"/>
    <mergeCell ref="D19:F19"/>
    <mergeCell ref="I19:J19"/>
    <mergeCell ref="D17:F17"/>
    <mergeCell ref="I17:J17"/>
    <mergeCell ref="I20:J20"/>
    <mergeCell ref="D18:F18"/>
    <mergeCell ref="I18:J18"/>
    <mergeCell ref="D20:F20"/>
    <mergeCell ref="D23:F23"/>
    <mergeCell ref="I23:J23"/>
    <mergeCell ref="D22:F22"/>
    <mergeCell ref="D21:F21"/>
    <mergeCell ref="I21:J21"/>
    <mergeCell ref="I22:J22"/>
  </mergeCells>
  <pageMargins left="0.70866141732283472" right="0.31496062992125984" top="0.23622047244094491" bottom="0.23622047244094491" header="0.31496062992125984" footer="0.31496062992125984"/>
  <pageSetup paperSize="9" scale="74" orientation="portrait" horizontalDpi="4294967293" verticalDpi="3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73825-8D11-45C7-8CF3-D391246136B8}">
  <sheetPr codeName="Sheet127">
    <tabColor rgb="FF7030A0"/>
    <pageSetUpPr fitToPage="1"/>
  </sheetPr>
  <dimension ref="B1:Q48"/>
  <sheetViews>
    <sheetView topLeftCell="A26" zoomScaleNormal="100" workbookViewId="0">
      <selection activeCell="K34" sqref="K3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089843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5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5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5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5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5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5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5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5" ht="8.5" customHeight="1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145</v>
      </c>
      <c r="J10" s="24" t="s">
        <v>27</v>
      </c>
      <c r="K10" s="464">
        <v>202501114</v>
      </c>
      <c r="L10" s="465"/>
    </row>
    <row r="11" spans="2:15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Fusionoplis One                                            1 Fusionopolis Way Basement 2    #B2-02 Singapore 138632                                    (Dessert)</v>
      </c>
      <c r="G11" s="470"/>
      <c r="H11" s="471"/>
      <c r="J11" s="26" t="s">
        <v>9</v>
      </c>
      <c r="K11" s="504">
        <v>45663</v>
      </c>
      <c r="L11" s="505"/>
    </row>
    <row r="12" spans="2:15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506" t="s">
        <v>34</v>
      </c>
      <c r="L12" s="507"/>
    </row>
    <row r="13" spans="2:15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5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  <c r="N14" s="19" t="s">
        <v>937</v>
      </c>
      <c r="O14" s="19" t="s">
        <v>219</v>
      </c>
    </row>
    <row r="15" spans="2:15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749</v>
      </c>
      <c r="D18" s="487" t="str">
        <f>VLOOKUP(C18,'Sales Master'!B$3:D$537,2,)</f>
        <v>Agar Powder 菜燕粉</v>
      </c>
      <c r="E18" s="487"/>
      <c r="F18" s="487"/>
      <c r="G18" s="76">
        <v>1</v>
      </c>
      <c r="H18" s="188" t="str">
        <f>VLOOKUP(C18,'Sales Master'!$B$3:$F$2488,5,0)</f>
        <v>43 gms x 10PKT/Bag</v>
      </c>
      <c r="I18" s="484" t="str">
        <f>VLOOKUP(C18,'Sales Master'!$B$3:$E$2488,4,0)</f>
        <v>No 1</v>
      </c>
      <c r="J18" s="484"/>
      <c r="K18" s="99">
        <f>VLOOKUP(C18,'Sales Master'!$B$3:$AY$537,50,0)</f>
        <v>30</v>
      </c>
      <c r="L18" s="31">
        <f t="shared" ref="L18" si="0">K18*G18</f>
        <v>30</v>
      </c>
      <c r="N18" s="145">
        <f>VLOOKUP(C18,'Sales Master'!$B$3:$DA$2279,104,0)</f>
        <v>15.05</v>
      </c>
      <c r="O18" s="145">
        <f t="shared" ref="O18" si="1">K18-N18</f>
        <v>14.95</v>
      </c>
      <c r="P18" s="145">
        <f t="shared" ref="P18" si="2">O18*G18</f>
        <v>14.95</v>
      </c>
    </row>
    <row r="19" spans="2:16" ht="20.149999999999999" customHeight="1" x14ac:dyDescent="0.45">
      <c r="B19" s="29"/>
      <c r="C19" s="212" t="s">
        <v>812</v>
      </c>
      <c r="D19" s="487" t="str">
        <f>VLOOKUP(C19,'Sales Master'!B$3:D$537,2,)</f>
        <v>Red Bean 红豆 (5.5 mm)</v>
      </c>
      <c r="E19" s="487"/>
      <c r="F19" s="487"/>
      <c r="G19" s="76">
        <v>2</v>
      </c>
      <c r="H19" s="188" t="str">
        <f>VLOOKUP(C19,'Sales Master'!$B$3:$F$2488,5,0)</f>
        <v>5 KG</v>
      </c>
      <c r="I19" s="484" t="str">
        <f>VLOOKUP(C19,'Sales Master'!$B$3:$E$2488,4,0)</f>
        <v>-</v>
      </c>
      <c r="J19" s="484"/>
      <c r="K19" s="99">
        <f>VLOOKUP(C19,'Sales Master'!$B$3:$AY$537,50,0)</f>
        <v>17.5</v>
      </c>
      <c r="L19" s="31">
        <f t="shared" ref="L19:L20" si="3">K19*G19</f>
        <v>35</v>
      </c>
      <c r="N19" s="145">
        <f>VLOOKUP(C19,'Sales Master'!$B$3:$DA$2279,104,0)</f>
        <v>12.5</v>
      </c>
      <c r="O19" s="145">
        <f t="shared" ref="O19:O20" si="4">K19-N19</f>
        <v>5</v>
      </c>
      <c r="P19" s="145">
        <f t="shared" ref="P19:P20" si="5">O19*G19</f>
        <v>10</v>
      </c>
    </row>
    <row r="20" spans="2:16" ht="20.149999999999999" customHeight="1" x14ac:dyDescent="0.45">
      <c r="B20" s="29"/>
      <c r="C20" s="212" t="s">
        <v>825</v>
      </c>
      <c r="D20" s="487" t="str">
        <f>VLOOKUP(C20,'Sales Master'!B$3:D$537,2,)</f>
        <v>Green Bean 绿豆</v>
      </c>
      <c r="E20" s="487"/>
      <c r="F20" s="487"/>
      <c r="G20" s="17">
        <v>3</v>
      </c>
      <c r="H20" s="188" t="str">
        <f>VLOOKUP(C20,'Sales Master'!$B$3:$F$2488,5,0)</f>
        <v>5 KG</v>
      </c>
      <c r="I20" s="484" t="str">
        <f>VLOOKUP(C20,'Sales Master'!$B$3:$E$2488,4,0)</f>
        <v>-</v>
      </c>
      <c r="J20" s="484"/>
      <c r="K20" s="99">
        <f>VLOOKUP(C20,'Sales Master'!$B$3:$AY$537,50,0)</f>
        <v>13</v>
      </c>
      <c r="L20" s="31">
        <f t="shared" si="3"/>
        <v>39</v>
      </c>
      <c r="N20" s="145">
        <f>VLOOKUP(C20,'Sales Master'!$B$3:$DA$2279,104,0)</f>
        <v>8.75</v>
      </c>
      <c r="O20" s="145">
        <f t="shared" si="4"/>
        <v>4.25</v>
      </c>
      <c r="P20" s="145">
        <f t="shared" si="5"/>
        <v>12.75</v>
      </c>
    </row>
    <row r="21" spans="2:16" ht="20.149999999999999" customHeight="1" x14ac:dyDescent="0.45">
      <c r="B21" s="29"/>
      <c r="C21" s="212" t="s">
        <v>837</v>
      </c>
      <c r="D21" s="498" t="str">
        <f>VLOOKUP(C21,'Sales Master'!B$3:D$537,2,)</f>
        <v>Black Glutinous Rice 黑糯米</v>
      </c>
      <c r="E21" s="498"/>
      <c r="F21" s="498"/>
      <c r="G21" s="17">
        <v>1</v>
      </c>
      <c r="H21" s="188" t="str">
        <f>VLOOKUP(C21,'Sales Master'!$B$3:$F$2488,5,0)</f>
        <v>5 KGS</v>
      </c>
      <c r="I21" s="484" t="str">
        <f>VLOOKUP(C21,'Sales Master'!$B$3:$E$2488,4,0)</f>
        <v>-</v>
      </c>
      <c r="J21" s="484"/>
      <c r="K21" s="99">
        <f>VLOOKUP(C21,'Sales Master'!$B$3:$AY$537,50,0)</f>
        <v>18</v>
      </c>
      <c r="L21" s="31">
        <f>K21*G21</f>
        <v>18</v>
      </c>
      <c r="N21" s="145">
        <f>VLOOKUP(C21,'Sales Master'!$B$3:$DA$2279,104,0)</f>
        <v>12</v>
      </c>
      <c r="O21" s="145">
        <f>K21-N21</f>
        <v>6</v>
      </c>
      <c r="P21" s="145">
        <f>O21*G21</f>
        <v>6</v>
      </c>
    </row>
    <row r="22" spans="2:16" ht="20.149999999999999" customHeight="1" x14ac:dyDescent="0.45">
      <c r="B22" s="58"/>
      <c r="C22" s="212" t="s">
        <v>844</v>
      </c>
      <c r="D22" s="487" t="str">
        <f>VLOOKUP(C22,'Sales Master'!B$3:D$537,2,)</f>
        <v>White Wheat 大麦</v>
      </c>
      <c r="E22" s="487"/>
      <c r="F22" s="487"/>
      <c r="G22" s="17">
        <v>1</v>
      </c>
      <c r="H22" s="188" t="str">
        <f>VLOOKUP(C22,'Sales Master'!$B$3:$F$2488,5,0)</f>
        <v>10 PKT/ Bag</v>
      </c>
      <c r="I22" s="484" t="str">
        <f>VLOOKUP(C22,'Sales Master'!$B$3:$E$2488,4,0)</f>
        <v>-</v>
      </c>
      <c r="J22" s="484"/>
      <c r="K22" s="99">
        <f>VLOOKUP(C22,'Sales Master'!$B$3:$AY$537,50,0)</f>
        <v>9.5</v>
      </c>
      <c r="L22" s="31">
        <f>K22*G22</f>
        <v>9.5</v>
      </c>
      <c r="N22" s="145">
        <f>VLOOKUP(C22,'Sales Master'!$B$3:$DA$2279,104,0)</f>
        <v>7.8</v>
      </c>
      <c r="O22" s="145">
        <f>K22-N22</f>
        <v>1.7000000000000002</v>
      </c>
      <c r="P22" s="145">
        <f>O22*G22</f>
        <v>1.7000000000000002</v>
      </c>
    </row>
    <row r="23" spans="2:16" ht="20.149999999999999" customHeight="1" x14ac:dyDescent="0.45">
      <c r="B23" s="29"/>
      <c r="C23" s="212" t="s">
        <v>846</v>
      </c>
      <c r="D23" s="487" t="str">
        <f>VLOOKUP(C23,'Sales Master'!B$3:D$537,2,)</f>
        <v>Pearl Barley 薏米</v>
      </c>
      <c r="E23" s="487"/>
      <c r="F23" s="487"/>
      <c r="G23" s="76">
        <v>1</v>
      </c>
      <c r="H23" s="188" t="str">
        <f>VLOOKUP(C23,'Sales Master'!$B$3:$F$2488,5,0)</f>
        <v>5 KG</v>
      </c>
      <c r="I23" s="484" t="str">
        <f>VLOOKUP(C23,'Sales Master'!$B$3:$E$2488,4,0)</f>
        <v>-</v>
      </c>
      <c r="J23" s="484"/>
      <c r="K23" s="99">
        <f>VLOOKUP(C23,'Sales Master'!$B$3:$AY$537,50,0)</f>
        <v>10</v>
      </c>
      <c r="L23" s="31">
        <f>K23*G23</f>
        <v>10</v>
      </c>
      <c r="N23" s="145">
        <f>VLOOKUP(C23,'Sales Master'!$B$3:$DA$2279,104,0)</f>
        <v>7.6</v>
      </c>
      <c r="O23" s="145">
        <f>K23-N23</f>
        <v>2.4000000000000004</v>
      </c>
      <c r="P23" s="145">
        <f>O23*G23</f>
        <v>2.4000000000000004</v>
      </c>
    </row>
    <row r="24" spans="2:16" ht="20.149999999999999" customHeight="1" x14ac:dyDescent="0.45">
      <c r="B24" s="29"/>
      <c r="C24" s="212" t="s">
        <v>849</v>
      </c>
      <c r="D24" s="487" t="str">
        <f>VLOOKUP(C24,'Sales Master'!B$3:D$537,2,)</f>
        <v>Big Sago 大丸</v>
      </c>
      <c r="E24" s="487"/>
      <c r="F24" s="487"/>
      <c r="G24" s="76">
        <v>1</v>
      </c>
      <c r="H24" s="188" t="str">
        <f>VLOOKUP(C24,'Sales Master'!$B$3:$F$2488,5,0)</f>
        <v>5 KG</v>
      </c>
      <c r="I24" s="484" t="str">
        <f>VLOOKUP(C24,'Sales Master'!$B$3:$E$2488,4,0)</f>
        <v>-</v>
      </c>
      <c r="J24" s="484"/>
      <c r="K24" s="99">
        <f>VLOOKUP(C24,'Sales Master'!$B$3:$AY$537,50,0)</f>
        <v>11</v>
      </c>
      <c r="L24" s="31">
        <f>K24*G24</f>
        <v>11</v>
      </c>
      <c r="N24" s="145">
        <f>VLOOKUP(C24,'Sales Master'!$B$3:$DA$2279,104,0)</f>
        <v>8.5</v>
      </c>
      <c r="O24" s="145">
        <f>K24-N24</f>
        <v>2.5</v>
      </c>
      <c r="P24" s="145">
        <f>O24*G24</f>
        <v>2.5</v>
      </c>
    </row>
    <row r="25" spans="2:16" ht="20.149999999999999" customHeight="1" x14ac:dyDescent="0.45">
      <c r="B25" s="58"/>
      <c r="C25" s="212" t="s">
        <v>853</v>
      </c>
      <c r="D25" s="487" t="str">
        <f>VLOOKUP(C25,'Sales Master'!B$3:D$537,2,)</f>
        <v>Small Sago 小丸</v>
      </c>
      <c r="E25" s="487"/>
      <c r="F25" s="487"/>
      <c r="G25" s="17">
        <v>1</v>
      </c>
      <c r="H25" s="188" t="str">
        <f>VLOOKUP(C25,'Sales Master'!$B$3:$F$2488,5,0)</f>
        <v>5 KG</v>
      </c>
      <c r="I25" s="484" t="str">
        <f>VLOOKUP(C25,'Sales Master'!$B$3:$E$2488,4,0)</f>
        <v>-</v>
      </c>
      <c r="J25" s="484"/>
      <c r="K25" s="99">
        <f>VLOOKUP(C25,'Sales Master'!$B$3:$AY$537,50,0)</f>
        <v>10</v>
      </c>
      <c r="L25" s="31">
        <f>K25*G25</f>
        <v>10</v>
      </c>
      <c r="N25" s="145">
        <f>VLOOKUP(C25,'Sales Master'!$B$3:$DA$2279,104,0)</f>
        <v>0.70833333333333326</v>
      </c>
      <c r="O25" s="145">
        <f>K25-N25</f>
        <v>9.2916666666666661</v>
      </c>
      <c r="P25" s="145">
        <f>O25*G25</f>
        <v>9.2916666666666661</v>
      </c>
    </row>
    <row r="26" spans="2:16" ht="20.149999999999999" customHeight="1" x14ac:dyDescent="0.45">
      <c r="B26" s="58"/>
      <c r="C26" s="212" t="s">
        <v>856</v>
      </c>
      <c r="D26" s="487" t="str">
        <f>VLOOKUP(C26,'Sales Master'!B$3:D$537,2,)</f>
        <v>Dried Longan 龙眼干</v>
      </c>
      <c r="E26" s="487"/>
      <c r="F26" s="487"/>
      <c r="G26" s="17">
        <v>2</v>
      </c>
      <c r="H26" s="188" t="str">
        <f>VLOOKUP(C26,'Sales Master'!$B$3:$F$2488,5,0)</f>
        <v>1 kg/ Pkt包</v>
      </c>
      <c r="I26" s="484" t="str">
        <f>VLOOKUP(C26,'Sales Master'!$B$3:$E$2488,4,0)</f>
        <v>TL</v>
      </c>
      <c r="J26" s="484"/>
      <c r="K26" s="99">
        <f>VLOOKUP(C26,'Sales Master'!$B$3:$AY$537,50,0)</f>
        <v>12</v>
      </c>
      <c r="L26" s="31">
        <f t="shared" ref="L26:L28" si="6">K26*G26</f>
        <v>24</v>
      </c>
      <c r="N26" s="145">
        <f>VLOOKUP(C26,'Sales Master'!$B$3:$DA$2279,104,0)</f>
        <v>8.8000000000000007</v>
      </c>
      <c r="O26" s="145">
        <f t="shared" ref="O26:O28" si="7">K26-N26</f>
        <v>3.1999999999999993</v>
      </c>
      <c r="P26" s="145">
        <f t="shared" ref="P26:P28" si="8">O26*G26</f>
        <v>6.3999999999999986</v>
      </c>
    </row>
    <row r="27" spans="2:16" ht="20.149999999999999" customHeight="1" x14ac:dyDescent="0.45">
      <c r="B27" s="58"/>
      <c r="C27" s="212" t="s">
        <v>966</v>
      </c>
      <c r="D27" s="487" t="str">
        <f>VLOOKUP(C27,'Sales Master'!B$3:D$537,2,)</f>
        <v>Coconut Milk 椰浆</v>
      </c>
      <c r="E27" s="487"/>
      <c r="F27" s="487"/>
      <c r="G27" s="17">
        <v>2</v>
      </c>
      <c r="H27" s="188" t="str">
        <f>VLOOKUP(C27,'Sales Master'!$B$3:$F$2488,5,0)</f>
        <v>(1L x 12bag)/箱</v>
      </c>
      <c r="I27" s="484" t="str">
        <f>VLOOKUP(C27,'Sales Master'!$B$3:$E$2488,4,0)</f>
        <v>Kara UHT</v>
      </c>
      <c r="J27" s="484"/>
      <c r="K27" s="99">
        <f>VLOOKUP(C27,'Sales Master'!$B$3:$AY$537,50,0)</f>
        <v>54</v>
      </c>
      <c r="L27" s="31">
        <f t="shared" si="6"/>
        <v>108</v>
      </c>
      <c r="N27" s="145">
        <f>VLOOKUP(C27,'Sales Master'!$B$3:$DA$2279,104,0)</f>
        <v>35.799999999999997</v>
      </c>
      <c r="O27" s="145">
        <f t="shared" si="7"/>
        <v>18.200000000000003</v>
      </c>
      <c r="P27" s="145">
        <f t="shared" si="8"/>
        <v>36.400000000000006</v>
      </c>
    </row>
    <row r="28" spans="2:16" ht="20.149999999999999" customHeight="1" x14ac:dyDescent="0.45">
      <c r="B28" s="58"/>
      <c r="C28" s="212" t="s">
        <v>985</v>
      </c>
      <c r="D28" s="487" t="str">
        <f>VLOOKUP(C28,'Sales Master'!B$3:D$537,2,)</f>
        <v>Rock Sugar 冰糖</v>
      </c>
      <c r="E28" s="487"/>
      <c r="F28" s="487"/>
      <c r="G28" s="17">
        <v>1</v>
      </c>
      <c r="H28" s="188" t="str">
        <f>VLOOKUP(C28,'Sales Master'!$B$3:$F$2488,5,0)</f>
        <v>3 KG</v>
      </c>
      <c r="I28" s="484" t="str">
        <f>VLOOKUP(C28,'Sales Master'!$B$3:$E$2488,4,0)</f>
        <v>Star</v>
      </c>
      <c r="J28" s="484"/>
      <c r="K28" s="99">
        <f>VLOOKUP(C28,'Sales Master'!$B$3:$AY$537,50,0)</f>
        <v>6.5</v>
      </c>
      <c r="L28" s="31">
        <f t="shared" si="6"/>
        <v>6.5</v>
      </c>
      <c r="N28" s="145">
        <f>VLOOKUP(C28,'Sales Master'!$B$3:$DA$2279,104,0)</f>
        <v>4.666666666666667</v>
      </c>
      <c r="O28" s="145">
        <f t="shared" si="7"/>
        <v>1.833333333333333</v>
      </c>
      <c r="P28" s="145">
        <f t="shared" si="8"/>
        <v>1.833333333333333</v>
      </c>
    </row>
    <row r="29" spans="2:16" ht="20.149999999999999" customHeight="1" x14ac:dyDescent="0.45">
      <c r="B29" s="29"/>
      <c r="C29" s="212"/>
      <c r="D29" s="498"/>
      <c r="E29" s="498"/>
      <c r="F29" s="498"/>
      <c r="G29" s="76"/>
      <c r="H29" s="188"/>
      <c r="I29" s="484"/>
      <c r="J29" s="484"/>
      <c r="K29" s="99"/>
      <c r="L29" s="31"/>
      <c r="N29" s="145"/>
      <c r="O29" s="145"/>
      <c r="P29" s="145"/>
    </row>
    <row r="30" spans="2:16" ht="20.149999999999999" customHeight="1" x14ac:dyDescent="0.45">
      <c r="B30" s="29"/>
      <c r="C30" s="212"/>
      <c r="D30" s="487"/>
      <c r="E30" s="487"/>
      <c r="F30" s="487"/>
      <c r="G30" s="76"/>
      <c r="H30" s="188"/>
      <c r="I30" s="484"/>
      <c r="J30" s="484"/>
      <c r="K30" s="99"/>
      <c r="L30" s="31"/>
      <c r="N30" s="145"/>
      <c r="O30" s="145"/>
      <c r="P30" s="145"/>
    </row>
    <row r="31" spans="2:16" ht="20.149999999999999" customHeight="1" x14ac:dyDescent="0.45">
      <c r="B31" s="29"/>
      <c r="C31" s="149" t="s">
        <v>2271</v>
      </c>
      <c r="D31" s="403"/>
      <c r="E31" s="403"/>
      <c r="F31" s="403"/>
      <c r="G31" s="76"/>
      <c r="H31" s="186"/>
      <c r="I31" s="484"/>
      <c r="J31" s="484"/>
      <c r="K31" s="190"/>
      <c r="L31" s="31"/>
      <c r="N31" s="145"/>
      <c r="O31" s="145"/>
      <c r="P31" s="145"/>
    </row>
    <row r="32" spans="2:16" ht="20.149999999999999" customHeight="1" x14ac:dyDescent="0.45">
      <c r="B32" s="29"/>
      <c r="C32" s="212" t="s">
        <v>966</v>
      </c>
      <c r="D32" s="493" t="e">
        <f>VLOOKUP(C32,#REF!,2,0)</f>
        <v>#REF!</v>
      </c>
      <c r="E32" s="493"/>
      <c r="F32" s="493"/>
      <c r="G32" s="17">
        <v>1</v>
      </c>
      <c r="H32" s="186" t="e">
        <f>VLOOKUP(C32,#REF!,5,0)</f>
        <v>#REF!</v>
      </c>
      <c r="I32" s="484" t="e">
        <f>VLOOKUP(C32,#REF!,4,0)</f>
        <v>#REF!</v>
      </c>
      <c r="J32" s="484"/>
      <c r="K32" s="190">
        <v>48</v>
      </c>
      <c r="L32" s="31"/>
    </row>
    <row r="33" spans="2:17" ht="20.149999999999999" customHeight="1" x14ac:dyDescent="0.45">
      <c r="B33" s="29"/>
      <c r="C33" s="212" t="s">
        <v>967</v>
      </c>
      <c r="D33" s="493" t="e">
        <f>VLOOKUP(C33,#REF!,2,0)</f>
        <v>#REF!</v>
      </c>
      <c r="E33" s="493"/>
      <c r="F33" s="493"/>
      <c r="G33" s="17">
        <v>1</v>
      </c>
      <c r="H33" s="186" t="e">
        <f>VLOOKUP(C33,#REF!,5,0)</f>
        <v>#REF!</v>
      </c>
      <c r="I33" s="484" t="e">
        <f>VLOOKUP(C33,#REF!,4,0)</f>
        <v>#REF!</v>
      </c>
      <c r="J33" s="484"/>
      <c r="K33" s="190">
        <v>28</v>
      </c>
      <c r="L33" s="31"/>
    </row>
    <row r="34" spans="2:17" ht="20.149999999999999" customHeight="1" thickBot="1" x14ac:dyDescent="0.5">
      <c r="B34" s="32"/>
      <c r="C34" s="33"/>
      <c r="D34" s="488"/>
      <c r="E34" s="488"/>
      <c r="F34" s="488"/>
      <c r="G34" s="33"/>
      <c r="H34" s="33"/>
      <c r="I34" s="33"/>
      <c r="J34" s="33"/>
      <c r="K34" s="34"/>
      <c r="L34" s="35"/>
    </row>
    <row r="35" spans="2:17" ht="20.149999999999999" customHeight="1" thickBot="1" x14ac:dyDescent="0.5">
      <c r="B35" s="36"/>
      <c r="L35" s="37"/>
    </row>
    <row r="36" spans="2:17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89" t="s">
        <v>13</v>
      </c>
      <c r="K36" s="490"/>
      <c r="L36" s="38">
        <f>SUM(L17:L32)</f>
        <v>301</v>
      </c>
      <c r="M36" s="63">
        <f>SUM(P18:P34)</f>
        <v>104.22500000000001</v>
      </c>
      <c r="N36" s="133">
        <f>M36/L36</f>
        <v>0.34626245847176085</v>
      </c>
      <c r="Q36" s="63">
        <f>SUM(Q30:Q35)</f>
        <v>0</v>
      </c>
    </row>
    <row r="37" spans="2:17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7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91" t="s">
        <v>19</v>
      </c>
      <c r="K38" s="492"/>
      <c r="L38" s="41">
        <f>L36-L37</f>
        <v>301</v>
      </c>
    </row>
    <row r="39" spans="2:17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27.09</v>
      </c>
    </row>
    <row r="40" spans="2:17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6"/>
      <c r="J40" s="485" t="s">
        <v>21</v>
      </c>
      <c r="K40" s="486"/>
      <c r="L40" s="43">
        <f>L38+L39</f>
        <v>328.09</v>
      </c>
    </row>
    <row r="41" spans="2:17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  <c r="N41" s="173">
        <v>44641</v>
      </c>
      <c r="O41" s="19">
        <v>127.5</v>
      </c>
      <c r="P41" s="19">
        <v>18.8</v>
      </c>
      <c r="Q41" s="133">
        <f>P41/O41</f>
        <v>0.14745098039215687</v>
      </c>
    </row>
    <row r="42" spans="2:17" ht="20.149999999999999" customHeight="1" x14ac:dyDescent="0.45">
      <c r="B42" s="36"/>
      <c r="L42" s="37"/>
    </row>
    <row r="43" spans="2:17" ht="20.149999999999999" customHeight="1" x14ac:dyDescent="0.45">
      <c r="B43" s="36"/>
      <c r="L43" s="37"/>
    </row>
    <row r="44" spans="2:17" ht="20.149999999999999" customHeight="1" x14ac:dyDescent="0.45">
      <c r="B44" s="36"/>
      <c r="L44" s="37"/>
    </row>
    <row r="45" spans="2:17" ht="20.149999999999999" customHeight="1" x14ac:dyDescent="0.45">
      <c r="B45" s="36"/>
      <c r="L45" s="37"/>
    </row>
    <row r="46" spans="2:17" ht="20.149999999999999" customHeight="1" x14ac:dyDescent="0.45">
      <c r="B46" s="44"/>
      <c r="C46" s="45"/>
      <c r="D46" s="45"/>
      <c r="J46" s="45"/>
      <c r="K46" s="45"/>
      <c r="L46" s="46"/>
    </row>
    <row r="47" spans="2:17" ht="20.149999999999999" customHeight="1" x14ac:dyDescent="0.45">
      <c r="B47" s="36" t="s">
        <v>25</v>
      </c>
      <c r="J47" s="19" t="s">
        <v>26</v>
      </c>
      <c r="L47" s="37"/>
    </row>
    <row r="48" spans="2:17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50">
    <mergeCell ref="K13:L13"/>
    <mergeCell ref="B14:D14"/>
    <mergeCell ref="K14:L14"/>
    <mergeCell ref="J40:K40"/>
    <mergeCell ref="I19:J19"/>
    <mergeCell ref="I21:J21"/>
    <mergeCell ref="D17:F17"/>
    <mergeCell ref="I17:J17"/>
    <mergeCell ref="D18:F18"/>
    <mergeCell ref="I18:J18"/>
    <mergeCell ref="D30:F30"/>
    <mergeCell ref="I30:J30"/>
    <mergeCell ref="I23:J23"/>
    <mergeCell ref="I24:J24"/>
    <mergeCell ref="D23:F23"/>
    <mergeCell ref="J36:K36"/>
    <mergeCell ref="J38:K38"/>
    <mergeCell ref="D34:F34"/>
    <mergeCell ref="D32:F32"/>
    <mergeCell ref="D24:F24"/>
    <mergeCell ref="I29:J29"/>
    <mergeCell ref="D25:F25"/>
    <mergeCell ref="I32:J32"/>
    <mergeCell ref="D26:F26"/>
    <mergeCell ref="D27:F27"/>
    <mergeCell ref="I31:J31"/>
    <mergeCell ref="D33:F33"/>
    <mergeCell ref="I33:J33"/>
    <mergeCell ref="D22:F22"/>
    <mergeCell ref="D28:F28"/>
    <mergeCell ref="I26:J26"/>
    <mergeCell ref="I27:J27"/>
    <mergeCell ref="I22:J22"/>
    <mergeCell ref="I28:J28"/>
    <mergeCell ref="B1:L8"/>
    <mergeCell ref="D19:F19"/>
    <mergeCell ref="D21:F21"/>
    <mergeCell ref="D29:F29"/>
    <mergeCell ref="K10:L10"/>
    <mergeCell ref="B11:D11"/>
    <mergeCell ref="F11:H15"/>
    <mergeCell ref="K11:L11"/>
    <mergeCell ref="B12:D12"/>
    <mergeCell ref="I25:J25"/>
    <mergeCell ref="K15:L15"/>
    <mergeCell ref="D20:F20"/>
    <mergeCell ref="I20:J20"/>
    <mergeCell ref="B15:D15"/>
    <mergeCell ref="K12:L12"/>
    <mergeCell ref="B13:D13"/>
  </mergeCells>
  <conditionalFormatting sqref="C31">
    <cfRule type="duplicateValues" dxfId="244" priority="1"/>
  </conditionalFormatting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CD677-AD24-48A2-8F65-DA2523166E7D}">
  <sheetPr>
    <tabColor rgb="FFFFC000"/>
    <pageSetUpPr fitToPage="1"/>
  </sheetPr>
  <dimension ref="B1:Q45"/>
  <sheetViews>
    <sheetView topLeftCell="B20" workbookViewId="0">
      <selection activeCell="B1" sqref="B1:L4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146</v>
      </c>
      <c r="J10" s="24" t="s">
        <v>27</v>
      </c>
      <c r="K10" s="464">
        <v>202412611</v>
      </c>
      <c r="L10" s="465"/>
    </row>
    <row r="11" spans="2:14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 - Dim Sum                                            370 Alexandra Road #B1-20/21 Anchorpoint, Singapore 159953      </v>
      </c>
      <c r="G11" s="470"/>
      <c r="H11" s="471"/>
      <c r="J11" s="26" t="s">
        <v>9</v>
      </c>
      <c r="K11" s="478">
        <v>45653</v>
      </c>
      <c r="L11" s="479"/>
    </row>
    <row r="12" spans="2:14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4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856</v>
      </c>
    </row>
    <row r="14" spans="2:14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7" ht="20.149999999999999" customHeight="1" x14ac:dyDescent="0.45">
      <c r="B18" s="29"/>
      <c r="C18" s="212" t="s">
        <v>796</v>
      </c>
      <c r="D18" s="487" t="str">
        <f>VLOOKUP(C18,'Sales Master'!B$3:D$537,2,)</f>
        <v>Rice Flour 粘米粉</v>
      </c>
      <c r="E18" s="487"/>
      <c r="F18" s="487"/>
      <c r="G18" s="17">
        <v>1</v>
      </c>
      <c r="H18" s="188" t="str">
        <f>VLOOKUP(C18,'Sales Master'!$B$3:$F$2420,5,0)</f>
        <v>(600 GM x 20)/ Ctn箱</v>
      </c>
      <c r="I18" s="484" t="str">
        <f>VLOOKUP(C18,'Sales Master'!$B$3:$E$2420,4,0)</f>
        <v>ERAWAN</v>
      </c>
      <c r="J18" s="484"/>
      <c r="K18" s="30">
        <f>VLOOKUP(C18,'Sales Master'!$B$3:$J$537,9,0)</f>
        <v>22.5</v>
      </c>
      <c r="L18" s="64">
        <f>K18*G18</f>
        <v>22.5</v>
      </c>
    </row>
    <row r="19" spans="2:17" ht="20.149999999999999" customHeight="1" x14ac:dyDescent="0.45">
      <c r="B19" s="29"/>
      <c r="C19" s="212"/>
      <c r="D19" s="487"/>
      <c r="E19" s="487"/>
      <c r="F19" s="487"/>
      <c r="G19" s="17"/>
      <c r="H19" s="186"/>
      <c r="I19" s="484"/>
      <c r="J19" s="484"/>
      <c r="K19" s="30"/>
      <c r="L19" s="64"/>
    </row>
    <row r="20" spans="2:17" ht="20.149999999999999" customHeight="1" x14ac:dyDescent="0.45">
      <c r="B20" s="29"/>
      <c r="C20" s="212"/>
      <c r="D20" s="487"/>
      <c r="E20" s="487"/>
      <c r="F20" s="487"/>
      <c r="G20" s="17"/>
      <c r="H20" s="186"/>
      <c r="I20" s="484"/>
      <c r="J20" s="484"/>
      <c r="K20" s="30"/>
      <c r="L20" s="64"/>
    </row>
    <row r="21" spans="2:17" ht="20.149999999999999" customHeight="1" x14ac:dyDescent="0.45">
      <c r="B21" s="29"/>
      <c r="C21" s="212"/>
      <c r="D21" s="487"/>
      <c r="E21" s="487"/>
      <c r="F21" s="487"/>
      <c r="G21" s="17"/>
      <c r="H21" s="186"/>
      <c r="I21" s="484"/>
      <c r="J21" s="484"/>
      <c r="K21" s="30"/>
      <c r="L21" s="64"/>
    </row>
    <row r="22" spans="2:17" ht="20.149999999999999" customHeight="1" x14ac:dyDescent="0.45">
      <c r="B22" s="29"/>
      <c r="C22" s="212"/>
      <c r="D22" s="487"/>
      <c r="E22" s="487"/>
      <c r="F22" s="487"/>
      <c r="G22" s="17"/>
      <c r="H22" s="186"/>
      <c r="I22" s="484"/>
      <c r="J22" s="484"/>
      <c r="K22" s="30"/>
      <c r="L22" s="64"/>
      <c r="N22" s="145"/>
      <c r="O22" s="145"/>
      <c r="P22" s="145"/>
      <c r="Q22" s="170"/>
    </row>
    <row r="23" spans="2:17" ht="20.149999999999999" customHeight="1" x14ac:dyDescent="0.45">
      <c r="B23" s="29"/>
      <c r="C23" s="212"/>
      <c r="D23" s="487"/>
      <c r="E23" s="487"/>
      <c r="F23" s="487"/>
      <c r="G23" s="17"/>
      <c r="H23" s="186"/>
      <c r="I23" s="484"/>
      <c r="J23" s="484"/>
      <c r="K23" s="30"/>
      <c r="L23" s="64"/>
      <c r="N23" s="145"/>
      <c r="O23" s="145"/>
      <c r="P23" s="145"/>
      <c r="Q23" s="170"/>
    </row>
    <row r="24" spans="2:17" ht="20.149999999999999" customHeight="1" x14ac:dyDescent="0.45">
      <c r="B24" s="29"/>
      <c r="C24" s="17"/>
      <c r="D24" s="487"/>
      <c r="E24" s="487"/>
      <c r="F24" s="487"/>
      <c r="G24" s="17"/>
      <c r="H24" s="186"/>
      <c r="I24" s="484"/>
      <c r="J24" s="484"/>
      <c r="K24" s="30"/>
      <c r="L24" s="64"/>
      <c r="N24" s="145"/>
      <c r="O24" s="145"/>
      <c r="P24" s="145"/>
      <c r="Q24" s="170"/>
    </row>
    <row r="25" spans="2:17" ht="20.149999999999999" customHeight="1" x14ac:dyDescent="0.45">
      <c r="B25" s="29"/>
      <c r="C25" s="17"/>
      <c r="D25" s="487"/>
      <c r="E25" s="487"/>
      <c r="F25" s="487"/>
      <c r="G25" s="17"/>
      <c r="H25" s="186"/>
      <c r="I25" s="484"/>
      <c r="J25" s="484"/>
      <c r="K25" s="30"/>
      <c r="L25" s="64"/>
      <c r="N25" s="145"/>
      <c r="O25" s="145"/>
      <c r="P25" s="145"/>
      <c r="Q25" s="170"/>
    </row>
    <row r="26" spans="2:17" ht="20.149999999999999" customHeight="1" x14ac:dyDescent="0.45">
      <c r="B26" s="29"/>
      <c r="C26" s="17"/>
      <c r="D26" s="487"/>
      <c r="E26" s="487"/>
      <c r="F26" s="487"/>
      <c r="G26" s="17"/>
      <c r="H26" s="186"/>
      <c r="I26" s="484"/>
      <c r="J26" s="484"/>
      <c r="K26" s="30"/>
      <c r="L26" s="64"/>
      <c r="N26" s="145"/>
      <c r="O26" s="145"/>
      <c r="P26" s="145"/>
      <c r="Q26" s="170"/>
    </row>
    <row r="27" spans="2:17" ht="20.149999999999999" customHeight="1" x14ac:dyDescent="0.45">
      <c r="B27" s="29"/>
      <c r="C27" s="17"/>
      <c r="D27" s="487"/>
      <c r="E27" s="487"/>
      <c r="F27" s="487"/>
      <c r="G27" s="17"/>
      <c r="H27" s="186"/>
      <c r="I27" s="484"/>
      <c r="J27" s="484"/>
      <c r="K27" s="30"/>
      <c r="L27" s="64"/>
      <c r="N27" s="145"/>
      <c r="O27" s="145"/>
      <c r="P27" s="145"/>
      <c r="Q27" s="170"/>
    </row>
    <row r="28" spans="2:17" ht="20.149999999999999" customHeight="1" x14ac:dyDescent="0.45">
      <c r="B28" s="29"/>
      <c r="C28" s="17"/>
      <c r="D28" s="487"/>
      <c r="E28" s="487"/>
      <c r="F28" s="487"/>
      <c r="G28" s="17"/>
      <c r="H28" s="186"/>
      <c r="I28" s="484"/>
      <c r="J28" s="484"/>
      <c r="K28" s="30"/>
      <c r="L28" s="64"/>
      <c r="N28" s="145"/>
      <c r="O28" s="145"/>
      <c r="P28" s="145"/>
      <c r="Q28" s="170"/>
    </row>
    <row r="29" spans="2:17" ht="20.149999999999999" customHeight="1" x14ac:dyDescent="0.45">
      <c r="B29" s="29"/>
      <c r="C29" s="17"/>
      <c r="G29" s="17"/>
      <c r="H29" s="186"/>
      <c r="I29" s="208"/>
      <c r="J29" s="208"/>
      <c r="K29" s="30"/>
      <c r="L29" s="64"/>
      <c r="N29" s="145"/>
      <c r="O29" s="145"/>
      <c r="P29" s="145"/>
      <c r="Q29" s="170"/>
    </row>
    <row r="30" spans="2:17" ht="20.149999999999999" customHeight="1" x14ac:dyDescent="0.45">
      <c r="B30" s="29"/>
      <c r="C30" s="147"/>
      <c r="D30" s="487"/>
      <c r="E30" s="487"/>
      <c r="F30" s="487"/>
      <c r="G30" s="17"/>
      <c r="H30" s="186"/>
      <c r="I30" s="484"/>
      <c r="J30" s="484"/>
      <c r="K30" s="30"/>
      <c r="L30" s="64"/>
      <c r="N30" s="145"/>
      <c r="O30" s="145"/>
      <c r="P30" s="145"/>
      <c r="Q30" s="170"/>
    </row>
    <row r="31" spans="2:17" ht="20.149999999999999" customHeight="1" thickBot="1" x14ac:dyDescent="0.5">
      <c r="B31" s="32"/>
      <c r="C31" s="33"/>
      <c r="D31" s="488"/>
      <c r="E31" s="488"/>
      <c r="F31" s="488"/>
      <c r="G31" s="33"/>
      <c r="H31" s="33"/>
      <c r="I31" s="33"/>
      <c r="J31" s="33"/>
      <c r="K31" s="34"/>
      <c r="L31" s="35"/>
    </row>
    <row r="32" spans="2:17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89" t="s">
        <v>13</v>
      </c>
      <c r="K33" s="490"/>
      <c r="L33" s="38">
        <f>SUM(L16:L31)</f>
        <v>22.5</v>
      </c>
      <c r="M33" s="63">
        <f>SUM(P18:P31)-L33*0.04</f>
        <v>-0.9</v>
      </c>
      <c r="N33" s="133">
        <f>M33/L33</f>
        <v>-0.04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91" t="s">
        <v>19</v>
      </c>
      <c r="K35" s="492"/>
      <c r="L35" s="41">
        <f>L33-L34</f>
        <v>22.5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2.0249999999999999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85" t="s">
        <v>21</v>
      </c>
      <c r="K37" s="486"/>
      <c r="L37" s="43">
        <f>L35+L36</f>
        <v>24.524999999999999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0:F20"/>
    <mergeCell ref="I20:J20"/>
    <mergeCell ref="D19:F19"/>
    <mergeCell ref="I19:J19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35:K35"/>
    <mergeCell ref="J37:K37"/>
    <mergeCell ref="D28:F28"/>
    <mergeCell ref="I28:J28"/>
    <mergeCell ref="D30:F30"/>
    <mergeCell ref="I30:J30"/>
    <mergeCell ref="D31:F31"/>
    <mergeCell ref="J33:K33"/>
  </mergeCells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57692-11A3-45F1-8F87-534D65D194C8}">
  <sheetPr>
    <tabColor rgb="FFFFC000"/>
    <pageSetUpPr fitToPage="1"/>
  </sheetPr>
  <dimension ref="B1:Q45"/>
  <sheetViews>
    <sheetView topLeftCell="B15" workbookViewId="0">
      <selection activeCell="B1" sqref="B1:L4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147</v>
      </c>
      <c r="J10" s="24" t="s">
        <v>27</v>
      </c>
      <c r="K10" s="464">
        <v>202404117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 - Drink                                                  370 Alexandra Road #B1-20/21 Anchorpoint, Singapore 159953      </v>
      </c>
      <c r="G11" s="470"/>
      <c r="H11" s="471"/>
      <c r="J11" s="26" t="s">
        <v>9</v>
      </c>
      <c r="K11" s="478">
        <v>45386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7" ht="20.149999999999999" customHeight="1" x14ac:dyDescent="0.45">
      <c r="B18" s="29"/>
      <c r="C18" s="212" t="s">
        <v>937</v>
      </c>
      <c r="D18" s="487" t="str">
        <f>VLOOKUP(C18,'Sales Master'!B$3:D$537,2,)</f>
        <v>Lychee in Syrup 荔枝</v>
      </c>
      <c r="E18" s="487"/>
      <c r="F18" s="487"/>
      <c r="G18" s="17">
        <v>2</v>
      </c>
      <c r="H18" s="186" t="str">
        <f>VLOOKUP(C18,'Sales Master'!$B$3:$F$2420,5,0)</f>
        <v>12 CAN/CARTON</v>
      </c>
      <c r="I18" s="484" t="str">
        <f>VLOOKUP(C18,'Sales Master'!$B$3:$E$2420,4,0)</f>
        <v>Statue</v>
      </c>
      <c r="J18" s="484"/>
      <c r="K18" s="30">
        <f>VLOOKUP(C18,'Sales Master'!$B$3:$J$537,9,0)</f>
        <v>22</v>
      </c>
      <c r="L18" s="64">
        <f>K18*G18</f>
        <v>44</v>
      </c>
      <c r="N18" s="145">
        <f>VLOOKUP(C18,'Sales Master'!$B$3:$DA$2279,104,0)</f>
        <v>16.5</v>
      </c>
      <c r="O18" s="145">
        <f>K18-N18</f>
        <v>5.5</v>
      </c>
      <c r="P18" s="145">
        <f>O18*G18</f>
        <v>11</v>
      </c>
      <c r="Q18" s="170"/>
    </row>
    <row r="19" spans="2:17" ht="20.149999999999999" customHeight="1" x14ac:dyDescent="0.45">
      <c r="B19" s="29"/>
      <c r="C19" s="17" t="s">
        <v>929</v>
      </c>
      <c r="D19" s="487" t="str">
        <f>VLOOKUP(C19,'Sales Master'!B$3:D$537,2,)</f>
        <v>Aloe Vera 芦荟 10mm</v>
      </c>
      <c r="E19" s="487"/>
      <c r="F19" s="487"/>
      <c r="G19" s="17">
        <v>1</v>
      </c>
      <c r="H19" s="186" t="str">
        <f>VLOOKUP(C19,'Sales Master'!$B$3:$F$2420,5,0)</f>
        <v>1 Can X A10</v>
      </c>
      <c r="I19" s="484" t="str">
        <f>VLOOKUP(C19,'Sales Master'!$B$3:$E$2420,4,0)</f>
        <v>Chefs</v>
      </c>
      <c r="J19" s="484"/>
      <c r="K19" s="30">
        <f>VLOOKUP(C19,'Sales Master'!$B$3:$J$537,9,0)</f>
        <v>10</v>
      </c>
      <c r="L19" s="64">
        <f>K19*G19</f>
        <v>10</v>
      </c>
      <c r="N19" s="145">
        <f>VLOOKUP(C19,'Sales Master'!$B$3:$DA$2279,104,0)</f>
        <v>7</v>
      </c>
      <c r="O19" s="145">
        <f>K19-N19</f>
        <v>3</v>
      </c>
      <c r="P19" s="145">
        <f>O19*G19</f>
        <v>3</v>
      </c>
      <c r="Q19" s="170"/>
    </row>
    <row r="20" spans="2:17" ht="20.149999999999999" customHeight="1" x14ac:dyDescent="0.45">
      <c r="B20" s="29"/>
      <c r="C20" s="17"/>
      <c r="D20" s="487"/>
      <c r="E20" s="487"/>
      <c r="F20" s="487"/>
      <c r="G20" s="17"/>
      <c r="H20" s="186"/>
      <c r="I20" s="484"/>
      <c r="J20" s="484"/>
      <c r="K20" s="30"/>
      <c r="L20" s="64"/>
      <c r="N20" s="145"/>
      <c r="O20" s="145"/>
      <c r="P20" s="145"/>
      <c r="Q20" s="170"/>
    </row>
    <row r="21" spans="2:17" ht="20.149999999999999" customHeight="1" x14ac:dyDescent="0.45">
      <c r="B21" s="29"/>
      <c r="C21" s="17"/>
      <c r="D21" s="487"/>
      <c r="E21" s="487"/>
      <c r="F21" s="487"/>
      <c r="G21" s="17"/>
      <c r="H21" s="186"/>
      <c r="I21" s="484"/>
      <c r="J21" s="484"/>
      <c r="K21" s="30"/>
      <c r="L21" s="64"/>
      <c r="N21" s="145"/>
      <c r="O21" s="145"/>
      <c r="P21" s="145"/>
      <c r="Q21" s="170"/>
    </row>
    <row r="22" spans="2:17" ht="20.149999999999999" customHeight="1" x14ac:dyDescent="0.45">
      <c r="B22" s="29"/>
      <c r="C22" s="17"/>
      <c r="D22" s="487"/>
      <c r="E22" s="487"/>
      <c r="F22" s="487"/>
      <c r="G22" s="17"/>
      <c r="H22" s="186"/>
      <c r="I22" s="484"/>
      <c r="J22" s="484"/>
      <c r="K22" s="30"/>
      <c r="L22" s="64"/>
      <c r="N22" s="145"/>
      <c r="O22" s="145"/>
      <c r="P22" s="145"/>
      <c r="Q22" s="170"/>
    </row>
    <row r="23" spans="2:17" ht="20.149999999999999" customHeight="1" x14ac:dyDescent="0.45">
      <c r="B23" s="29"/>
      <c r="C23" s="17"/>
      <c r="D23" s="487"/>
      <c r="E23" s="487"/>
      <c r="F23" s="487"/>
      <c r="G23" s="17"/>
      <c r="H23" s="186"/>
      <c r="I23" s="484"/>
      <c r="J23" s="484"/>
      <c r="K23" s="30"/>
      <c r="L23" s="64"/>
      <c r="N23" s="145"/>
      <c r="O23" s="145"/>
      <c r="P23" s="145"/>
      <c r="Q23" s="170"/>
    </row>
    <row r="24" spans="2:17" ht="20.149999999999999" customHeight="1" x14ac:dyDescent="0.45">
      <c r="B24" s="29"/>
      <c r="C24" s="17"/>
      <c r="D24" s="487"/>
      <c r="E24" s="487"/>
      <c r="F24" s="487"/>
      <c r="G24" s="17"/>
      <c r="H24" s="186"/>
      <c r="I24" s="484"/>
      <c r="J24" s="484"/>
      <c r="K24" s="30"/>
      <c r="L24" s="64"/>
      <c r="N24" s="145"/>
      <c r="O24" s="145"/>
      <c r="P24" s="145"/>
      <c r="Q24" s="170"/>
    </row>
    <row r="25" spans="2:17" ht="20.149999999999999" customHeight="1" x14ac:dyDescent="0.45">
      <c r="B25" s="29"/>
      <c r="C25" s="17"/>
      <c r="D25" s="487"/>
      <c r="E25" s="487"/>
      <c r="F25" s="487"/>
      <c r="G25" s="17"/>
      <c r="H25" s="186"/>
      <c r="I25" s="484"/>
      <c r="J25" s="484"/>
      <c r="K25" s="30"/>
      <c r="L25" s="64"/>
      <c r="N25" s="145"/>
      <c r="O25" s="145"/>
      <c r="P25" s="145"/>
      <c r="Q25" s="170"/>
    </row>
    <row r="26" spans="2:17" ht="20.149999999999999" customHeight="1" x14ac:dyDescent="0.45">
      <c r="B26" s="29"/>
      <c r="C26" s="17"/>
      <c r="D26" s="487"/>
      <c r="E26" s="487"/>
      <c r="F26" s="487"/>
      <c r="G26" s="17"/>
      <c r="H26" s="186"/>
      <c r="I26" s="484"/>
      <c r="J26" s="484"/>
      <c r="K26" s="30"/>
      <c r="L26" s="64"/>
      <c r="N26" s="145"/>
      <c r="O26" s="145"/>
      <c r="P26" s="145"/>
      <c r="Q26" s="170"/>
    </row>
    <row r="27" spans="2:17" ht="20.149999999999999" customHeight="1" x14ac:dyDescent="0.45">
      <c r="B27" s="29"/>
      <c r="C27" s="17"/>
      <c r="D27" s="487"/>
      <c r="E27" s="487"/>
      <c r="F27" s="487"/>
      <c r="G27" s="17"/>
      <c r="H27" s="186"/>
      <c r="I27" s="484"/>
      <c r="J27" s="484"/>
      <c r="K27" s="30"/>
      <c r="L27" s="64"/>
      <c r="N27" s="145"/>
      <c r="O27" s="145"/>
      <c r="P27" s="145"/>
      <c r="Q27" s="170"/>
    </row>
    <row r="28" spans="2:17" ht="20.149999999999999" customHeight="1" x14ac:dyDescent="0.45">
      <c r="B28" s="29"/>
      <c r="C28" s="17"/>
      <c r="D28" s="487"/>
      <c r="E28" s="487"/>
      <c r="F28" s="487"/>
      <c r="G28" s="17"/>
      <c r="H28" s="186"/>
      <c r="I28" s="484"/>
      <c r="J28" s="484"/>
      <c r="K28" s="30"/>
      <c r="L28" s="64"/>
      <c r="N28" s="145"/>
      <c r="O28" s="145"/>
      <c r="P28" s="145"/>
      <c r="Q28" s="170"/>
    </row>
    <row r="29" spans="2:17" ht="20.149999999999999" customHeight="1" x14ac:dyDescent="0.45">
      <c r="B29" s="29"/>
      <c r="C29" s="17"/>
      <c r="G29" s="17"/>
      <c r="H29" s="186"/>
      <c r="I29" s="208"/>
      <c r="J29" s="208"/>
      <c r="K29" s="30"/>
      <c r="L29" s="64"/>
      <c r="N29" s="145"/>
      <c r="O29" s="145"/>
      <c r="P29" s="145"/>
      <c r="Q29" s="170"/>
    </row>
    <row r="30" spans="2:17" ht="20.149999999999999" customHeight="1" x14ac:dyDescent="0.45">
      <c r="B30" s="29"/>
      <c r="C30" s="147"/>
      <c r="D30" s="487"/>
      <c r="E30" s="487"/>
      <c r="F30" s="487"/>
      <c r="G30" s="17"/>
      <c r="H30" s="186"/>
      <c r="I30" s="484"/>
      <c r="J30" s="484"/>
      <c r="K30" s="30"/>
      <c r="L30" s="64"/>
      <c r="N30" s="145"/>
      <c r="O30" s="145"/>
      <c r="P30" s="145"/>
      <c r="Q30" s="170"/>
    </row>
    <row r="31" spans="2:17" ht="20.149999999999999" customHeight="1" thickBot="1" x14ac:dyDescent="0.5">
      <c r="B31" s="32"/>
      <c r="C31" s="33"/>
      <c r="D31" s="488"/>
      <c r="E31" s="488"/>
      <c r="F31" s="488"/>
      <c r="G31" s="33"/>
      <c r="H31" s="33"/>
      <c r="I31" s="33"/>
      <c r="J31" s="33"/>
      <c r="K31" s="34"/>
      <c r="L31" s="35"/>
    </row>
    <row r="32" spans="2:17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89" t="s">
        <v>13</v>
      </c>
      <c r="K33" s="490"/>
      <c r="L33" s="38">
        <f>SUM(L16:L31)</f>
        <v>54</v>
      </c>
      <c r="M33" s="63">
        <f>SUM(P18:P31)-L33*0.04</f>
        <v>11.84</v>
      </c>
      <c r="N33" s="133">
        <f>M33/L33</f>
        <v>0.21925925925925926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91" t="s">
        <v>19</v>
      </c>
      <c r="K35" s="492"/>
      <c r="L35" s="41">
        <f>L33-L34</f>
        <v>54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4.8599999999999994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85" t="s">
        <v>21</v>
      </c>
      <c r="K37" s="486"/>
      <c r="L37" s="43">
        <f>L35+L36</f>
        <v>58.86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35:K35"/>
    <mergeCell ref="J37:K37"/>
    <mergeCell ref="D28:F28"/>
    <mergeCell ref="I28:J28"/>
    <mergeCell ref="D30:F30"/>
    <mergeCell ref="I30:J30"/>
    <mergeCell ref="D31:F31"/>
    <mergeCell ref="J33:K33"/>
  </mergeCells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10196-6DFA-43BC-85EC-D6909BCBFEF6}">
  <sheetPr codeName="Sheet115">
    <tabColor rgb="FF7030A0"/>
    <pageSetUpPr fitToPage="1"/>
  </sheetPr>
  <dimension ref="B1:V43"/>
  <sheetViews>
    <sheetView topLeftCell="B1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8.5" customHeight="1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148</v>
      </c>
      <c r="J10" s="24" t="s">
        <v>27</v>
      </c>
      <c r="K10" s="464">
        <v>202206014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 - Fruit                                            535 Clementi Road Block 51, Level 2 Ngee Ann Polythenic NIC Singapore 599489                    </v>
      </c>
      <c r="G11" s="470"/>
      <c r="H11" s="471"/>
      <c r="J11" s="26" t="s">
        <v>9</v>
      </c>
      <c r="K11" s="500">
        <v>44713</v>
      </c>
      <c r="L11" s="483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29"/>
      <c r="C18" s="17" t="s">
        <v>752</v>
      </c>
      <c r="D18" s="487" t="str">
        <f>VLOOKUP(C18,'Sales Master'!B$3:D$537,2,)</f>
        <v>Agar Powder 菜燕粉</v>
      </c>
      <c r="E18" s="487"/>
      <c r="F18" s="487"/>
      <c r="G18" s="17">
        <v>3</v>
      </c>
      <c r="H18" s="56" t="str">
        <f>VLOOKUP(C18,'Sales Master'!$B$3:$F$2488,5,0)</f>
        <v>(12g x 12pkt)/盒</v>
      </c>
      <c r="I18" s="494" t="str">
        <f>VLOOKUP(C18,'Sales Master'!$B$3:$E$2488,4,0)</f>
        <v>Rose</v>
      </c>
      <c r="J18" s="494"/>
      <c r="K18" s="30">
        <f>VLOOKUP(C18,'Sales Master'!$B$3:$BB$537,53,0)</f>
        <v>11</v>
      </c>
      <c r="L18" s="31">
        <f>K18*G18</f>
        <v>33</v>
      </c>
      <c r="N18" s="145">
        <f>VLOOKUP(C18,'Sales Master'!$B$3:$DA$2279,104,0)</f>
        <v>9</v>
      </c>
      <c r="O18" s="145">
        <f>K18-N18</f>
        <v>2</v>
      </c>
      <c r="P18" s="145">
        <f>O18*G18</f>
        <v>6</v>
      </c>
      <c r="R18" s="19">
        <v>2</v>
      </c>
      <c r="S18" s="19" t="s">
        <v>97</v>
      </c>
      <c r="T18" s="19" t="s">
        <v>408</v>
      </c>
      <c r="V18" s="19">
        <v>11</v>
      </c>
    </row>
    <row r="19" spans="2:22" ht="20.149999999999999" customHeight="1" x14ac:dyDescent="0.45">
      <c r="B19" s="29"/>
      <c r="C19" s="17"/>
      <c r="D19" s="487"/>
      <c r="E19" s="487"/>
      <c r="F19" s="487"/>
      <c r="G19" s="17"/>
      <c r="H19" s="56"/>
      <c r="I19" s="494"/>
      <c r="J19" s="494"/>
      <c r="K19" s="30"/>
      <c r="L19" s="31"/>
      <c r="R19" s="19">
        <v>2</v>
      </c>
      <c r="S19" s="19" t="s">
        <v>34</v>
      </c>
      <c r="T19" s="19" t="s">
        <v>72</v>
      </c>
      <c r="V19" s="19">
        <v>10</v>
      </c>
    </row>
    <row r="20" spans="2:22" ht="20.149999999999999" customHeight="1" x14ac:dyDescent="0.45">
      <c r="B20" s="29"/>
      <c r="C20" s="17"/>
      <c r="D20" s="487"/>
      <c r="E20" s="487"/>
      <c r="F20" s="487"/>
      <c r="G20" s="17"/>
      <c r="H20" s="56"/>
      <c r="I20" s="494"/>
      <c r="J20" s="494"/>
      <c r="K20" s="30"/>
      <c r="L20" s="31"/>
    </row>
    <row r="21" spans="2:22" ht="20.149999999999999" customHeight="1" x14ac:dyDescent="0.45">
      <c r="B21" s="29"/>
      <c r="C21" s="17"/>
      <c r="G21" s="17"/>
      <c r="H21" s="56"/>
      <c r="I21" s="458"/>
      <c r="J21" s="458"/>
      <c r="K21" s="30"/>
      <c r="L21" s="31"/>
    </row>
    <row r="22" spans="2:22" ht="20.149999999999999" customHeight="1" x14ac:dyDescent="0.45">
      <c r="B22" s="29"/>
      <c r="C22" s="17"/>
      <c r="G22" s="17"/>
      <c r="H22" s="56"/>
      <c r="I22" s="458"/>
      <c r="J22" s="458"/>
      <c r="K22" s="30"/>
      <c r="L22" s="31"/>
    </row>
    <row r="23" spans="2:22" ht="20.149999999999999" customHeight="1" x14ac:dyDescent="0.45">
      <c r="B23" s="29"/>
      <c r="C23" s="17"/>
      <c r="G23" s="17"/>
      <c r="H23" s="56"/>
      <c r="I23" s="458"/>
      <c r="J23" s="458"/>
      <c r="K23" s="30"/>
      <c r="L23" s="31"/>
    </row>
    <row r="24" spans="2:22" ht="20.149999999999999" customHeight="1" x14ac:dyDescent="0.45">
      <c r="B24" s="29"/>
      <c r="C24" s="17"/>
      <c r="G24" s="17"/>
      <c r="H24" s="56"/>
      <c r="I24" s="458"/>
      <c r="J24" s="458"/>
      <c r="K24" s="30"/>
      <c r="L24" s="31"/>
    </row>
    <row r="25" spans="2:22" ht="20.149999999999999" customHeight="1" x14ac:dyDescent="0.45">
      <c r="B25" s="29"/>
      <c r="C25" s="17"/>
      <c r="G25" s="17"/>
      <c r="H25" s="56"/>
      <c r="I25" s="458"/>
      <c r="J25" s="458"/>
      <c r="K25" s="30"/>
      <c r="L25" s="31"/>
    </row>
    <row r="26" spans="2:22" ht="20.149999999999999" customHeight="1" x14ac:dyDescent="0.45">
      <c r="B26" s="29"/>
      <c r="C26" s="17"/>
      <c r="G26" s="17"/>
      <c r="H26" s="56"/>
      <c r="I26" s="458"/>
      <c r="J26" s="458"/>
      <c r="K26" s="30"/>
      <c r="L26" s="31"/>
    </row>
    <row r="27" spans="2:22" ht="20.149999999999999" customHeight="1" x14ac:dyDescent="0.45">
      <c r="B27" s="29"/>
      <c r="C27" s="17"/>
      <c r="D27" s="487"/>
      <c r="E27" s="487"/>
      <c r="F27" s="487"/>
      <c r="G27" s="17"/>
      <c r="H27" s="56"/>
      <c r="I27" s="56"/>
      <c r="J27" s="17"/>
      <c r="K27" s="30"/>
      <c r="L27" s="31"/>
    </row>
    <row r="28" spans="2:22" ht="20.149999999999999" customHeight="1" x14ac:dyDescent="0.45">
      <c r="B28" s="29"/>
      <c r="C28" s="17"/>
      <c r="D28" s="487"/>
      <c r="E28" s="487"/>
      <c r="F28" s="487"/>
      <c r="G28" s="17"/>
      <c r="H28" s="17"/>
      <c r="I28" s="17"/>
      <c r="J28" s="17"/>
      <c r="K28" s="30"/>
      <c r="L28" s="31"/>
    </row>
    <row r="29" spans="2:22" ht="20.149999999999999" customHeight="1" thickBot="1" x14ac:dyDescent="0.5">
      <c r="B29" s="32"/>
      <c r="C29" s="33"/>
      <c r="D29" s="488"/>
      <c r="E29" s="488"/>
      <c r="F29" s="488"/>
      <c r="G29" s="33"/>
      <c r="H29" s="33"/>
      <c r="I29" s="33"/>
      <c r="J29" s="33"/>
      <c r="K29" s="34"/>
      <c r="L29" s="3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89" t="s">
        <v>13</v>
      </c>
      <c r="K31" s="490"/>
      <c r="L31" s="38">
        <f>SUM(L17:L28)</f>
        <v>33</v>
      </c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91" t="s">
        <v>19</v>
      </c>
      <c r="K33" s="492"/>
      <c r="L33" s="41">
        <f>L31-L32</f>
        <v>33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2.9699999999999998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85" t="s">
        <v>21</v>
      </c>
      <c r="K35" s="486"/>
      <c r="L35" s="43">
        <f>L33+L34</f>
        <v>35.97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3">
    <mergeCell ref="D29:F29"/>
    <mergeCell ref="J31:K31"/>
    <mergeCell ref="J33:K33"/>
    <mergeCell ref="J35:K35"/>
    <mergeCell ref="D28:F28"/>
    <mergeCell ref="D27:F27"/>
    <mergeCell ref="I24:J24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I21:J21"/>
    <mergeCell ref="I22:J22"/>
    <mergeCell ref="I23:J23"/>
    <mergeCell ref="I25:J25"/>
    <mergeCell ref="I26:J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70866141732283472" right="0.31496062992125984" top="0.59055118110236227" bottom="0" header="0.31496062992125984" footer="0.31496062992125984"/>
  <pageSetup paperSize="9" scale="7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67B10-B251-4C5E-BAD9-0B46D3CA1655}">
  <sheetPr codeName="Sheet116">
    <tabColor rgb="FF7030A0"/>
    <pageSetUpPr fitToPage="1"/>
  </sheetPr>
  <dimension ref="B1:P45"/>
  <sheetViews>
    <sheetView topLeftCell="A21" workbookViewId="0">
      <selection activeCell="C25" sqref="C25:K2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17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8.5" customHeight="1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149</v>
      </c>
      <c r="J10" s="24" t="s">
        <v>27</v>
      </c>
      <c r="K10" s="464">
        <v>202210442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 - Dim Sum                                    535 Clementi Road Block 51, Level 2 Ngee Ann Polythenic NIC Singapore 599489                    </v>
      </c>
      <c r="G11" s="470"/>
      <c r="H11" s="471"/>
      <c r="J11" s="26" t="s">
        <v>9</v>
      </c>
      <c r="K11" s="478">
        <v>44859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 t="s">
        <v>966</v>
      </c>
      <c r="D18" s="487" t="str">
        <f>VLOOKUP(C18,'Sales Master'!B$3:D$537,2,)</f>
        <v>Coconut Milk 椰浆</v>
      </c>
      <c r="E18" s="487"/>
      <c r="F18" s="487"/>
      <c r="G18" s="17">
        <v>3</v>
      </c>
      <c r="H18" s="56" t="str">
        <f>VLOOKUP(C18,'Sales Master'!$B$3:$F$2488,5,0)</f>
        <v>(1L x 12bag)/箱</v>
      </c>
      <c r="I18" s="494" t="str">
        <f>VLOOKUP(C18,'Sales Master'!$B$3:$E$2488,4,0)</f>
        <v>Kara UHT</v>
      </c>
      <c r="J18" s="494"/>
      <c r="K18" s="30">
        <f>VLOOKUP(C18,'Sales Master'!B$3:J$537,9,0)</f>
        <v>54</v>
      </c>
      <c r="L18" s="31">
        <f>K18*G18</f>
        <v>162</v>
      </c>
      <c r="N18" s="145">
        <f>VLOOKUP(C18,'Sales Master'!$B$3:$DA$2279,104,0)</f>
        <v>35.799999999999997</v>
      </c>
      <c r="O18" s="145">
        <f>K18-N18</f>
        <v>18.200000000000003</v>
      </c>
      <c r="P18" s="145">
        <f>O18*G18</f>
        <v>54.600000000000009</v>
      </c>
    </row>
    <row r="19" spans="2:16" ht="20.149999999999999" customHeight="1" x14ac:dyDescent="0.45">
      <c r="B19" s="29"/>
      <c r="C19" s="17"/>
      <c r="D19" s="487"/>
      <c r="E19" s="487"/>
      <c r="F19" s="487"/>
      <c r="G19" s="17"/>
      <c r="H19" s="56"/>
      <c r="I19" s="494"/>
      <c r="J19" s="494"/>
      <c r="K19" s="30"/>
      <c r="L19" s="31"/>
    </row>
    <row r="20" spans="2:16" ht="20.149999999999999" customHeight="1" x14ac:dyDescent="0.45">
      <c r="B20" s="29"/>
      <c r="C20" s="17"/>
      <c r="D20" s="487"/>
      <c r="E20" s="487"/>
      <c r="F20" s="487"/>
      <c r="G20" s="17"/>
      <c r="H20" s="56"/>
      <c r="I20" s="494"/>
      <c r="J20" s="494"/>
      <c r="K20" s="30"/>
      <c r="L20" s="31"/>
    </row>
    <row r="21" spans="2:16" ht="20.149999999999999" customHeight="1" x14ac:dyDescent="0.45">
      <c r="B21" s="29"/>
      <c r="C21" s="17"/>
      <c r="D21" s="487"/>
      <c r="E21" s="487"/>
      <c r="F21" s="487"/>
      <c r="G21" s="17"/>
      <c r="H21" s="56"/>
      <c r="I21" s="56"/>
      <c r="J21" s="17"/>
      <c r="K21" s="30"/>
      <c r="L21" s="31"/>
    </row>
    <row r="22" spans="2:16" ht="20.149999999999999" customHeight="1" x14ac:dyDescent="0.45">
      <c r="B22" s="29"/>
      <c r="C22" s="17"/>
      <c r="D22" s="487"/>
      <c r="E22" s="487"/>
      <c r="F22" s="487"/>
      <c r="G22" s="17"/>
      <c r="H22" s="56"/>
      <c r="I22" s="56"/>
      <c r="J22" s="17"/>
      <c r="K22" s="30"/>
      <c r="L22" s="31"/>
    </row>
    <row r="23" spans="2:16" ht="20.149999999999999" customHeight="1" x14ac:dyDescent="0.45">
      <c r="B23" s="29"/>
      <c r="C23" s="17"/>
      <c r="D23" s="487"/>
      <c r="E23" s="487"/>
      <c r="F23" s="487"/>
      <c r="G23" s="17"/>
      <c r="H23" s="56"/>
      <c r="I23" s="56"/>
      <c r="J23" s="17"/>
      <c r="K23" s="30"/>
      <c r="L23" s="31"/>
    </row>
    <row r="24" spans="2:16" ht="20.149999999999999" customHeight="1" x14ac:dyDescent="0.45">
      <c r="B24" s="29"/>
      <c r="C24" s="17"/>
      <c r="D24" s="487"/>
      <c r="E24" s="487"/>
      <c r="F24" s="487"/>
      <c r="G24" s="17"/>
      <c r="H24" s="56"/>
      <c r="I24" s="56"/>
      <c r="J24" s="17"/>
      <c r="K24" s="30"/>
      <c r="L24" s="31"/>
    </row>
    <row r="25" spans="2:16" ht="20.149999999999999" customHeight="1" x14ac:dyDescent="0.45">
      <c r="B25" s="29"/>
      <c r="C25" s="149" t="s">
        <v>2271</v>
      </c>
      <c r="D25" s="403"/>
      <c r="E25" s="403"/>
      <c r="F25" s="403"/>
      <c r="G25" s="76"/>
      <c r="H25" s="186"/>
      <c r="I25" s="484"/>
      <c r="J25" s="484"/>
      <c r="K25" s="190"/>
      <c r="L25" s="31"/>
    </row>
    <row r="26" spans="2:16" ht="20.149999999999999" customHeight="1" x14ac:dyDescent="0.45">
      <c r="B26" s="29"/>
      <c r="C26" s="212" t="s">
        <v>966</v>
      </c>
      <c r="D26" s="493" t="e">
        <f>VLOOKUP(C26,#REF!,2,0)</f>
        <v>#REF!</v>
      </c>
      <c r="E26" s="493"/>
      <c r="F26" s="493"/>
      <c r="G26" s="17">
        <v>1</v>
      </c>
      <c r="H26" s="186" t="e">
        <f>VLOOKUP(C26,#REF!,5,0)</f>
        <v>#REF!</v>
      </c>
      <c r="I26" s="484" t="e">
        <f>VLOOKUP(C26,#REF!,4,0)</f>
        <v>#REF!</v>
      </c>
      <c r="J26" s="484"/>
      <c r="K26" s="190">
        <v>48</v>
      </c>
      <c r="L26" s="31"/>
    </row>
    <row r="27" spans="2:16" ht="20.149999999999999" customHeight="1" x14ac:dyDescent="0.45">
      <c r="B27" s="29"/>
      <c r="C27" s="17"/>
      <c r="D27" s="487"/>
      <c r="E27" s="487"/>
      <c r="F27" s="487"/>
      <c r="G27" s="17"/>
      <c r="H27" s="56"/>
      <c r="I27" s="56"/>
      <c r="J27" s="17"/>
      <c r="K27" s="30"/>
      <c r="L27" s="31"/>
    </row>
    <row r="28" spans="2:16" ht="20.149999999999999" customHeight="1" x14ac:dyDescent="0.45">
      <c r="B28" s="29"/>
      <c r="C28" s="17"/>
      <c r="D28" s="487"/>
      <c r="E28" s="487"/>
      <c r="F28" s="487"/>
      <c r="G28" s="17"/>
      <c r="H28" s="56"/>
      <c r="I28" s="56"/>
      <c r="J28" s="17"/>
      <c r="K28" s="30"/>
      <c r="L28" s="31"/>
    </row>
    <row r="29" spans="2:16" ht="20.149999999999999" customHeight="1" x14ac:dyDescent="0.45">
      <c r="B29" s="29"/>
      <c r="C29" s="17"/>
      <c r="D29" s="487"/>
      <c r="E29" s="487"/>
      <c r="F29" s="487"/>
      <c r="G29" s="17"/>
      <c r="H29" s="56"/>
      <c r="I29" s="56"/>
      <c r="J29" s="17"/>
      <c r="K29" s="30"/>
      <c r="L29" s="31"/>
    </row>
    <row r="30" spans="2:16" ht="20.149999999999999" customHeight="1" x14ac:dyDescent="0.45">
      <c r="B30" s="29"/>
      <c r="C30" s="17"/>
      <c r="D30" s="487"/>
      <c r="E30" s="487"/>
      <c r="F30" s="487"/>
      <c r="G30" s="17"/>
      <c r="H30" s="17"/>
      <c r="I30" s="17"/>
      <c r="J30" s="17"/>
      <c r="K30" s="30"/>
      <c r="L30" s="31"/>
    </row>
    <row r="31" spans="2:16" ht="20.149999999999999" customHeight="1" thickBot="1" x14ac:dyDescent="0.5">
      <c r="B31" s="32"/>
      <c r="C31" s="33"/>
      <c r="D31" s="488"/>
      <c r="E31" s="488"/>
      <c r="F31" s="488"/>
      <c r="G31" s="33"/>
      <c r="H31" s="33"/>
      <c r="I31" s="33"/>
      <c r="J31" s="33"/>
      <c r="K31" s="34"/>
      <c r="L31" s="35"/>
    </row>
    <row r="32" spans="2:16" ht="20.149999999999999" customHeight="1" thickBot="1" x14ac:dyDescent="0.5">
      <c r="B32" s="36"/>
      <c r="L32" s="37"/>
    </row>
    <row r="33" spans="2:13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89" t="s">
        <v>13</v>
      </c>
      <c r="K33" s="490"/>
      <c r="L33" s="38">
        <f>SUM(L17:L30)</f>
        <v>162</v>
      </c>
      <c r="M33" s="63">
        <f>SUM(P18:P30)</f>
        <v>54.600000000000009</v>
      </c>
    </row>
    <row r="34" spans="2:13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3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91" t="s">
        <v>19</v>
      </c>
      <c r="K35" s="492"/>
      <c r="L35" s="41">
        <f>L33-L34</f>
        <v>162</v>
      </c>
    </row>
    <row r="36" spans="2:13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14.58</v>
      </c>
    </row>
    <row r="37" spans="2:13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85" t="s">
        <v>21</v>
      </c>
      <c r="K37" s="486"/>
      <c r="L37" s="43">
        <f>L35+L36</f>
        <v>176.58</v>
      </c>
    </row>
    <row r="38" spans="2:13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3" ht="20.149999999999999" customHeight="1" x14ac:dyDescent="0.45">
      <c r="B39" s="36"/>
      <c r="L39" s="37"/>
    </row>
    <row r="40" spans="2:13" ht="20.149999999999999" customHeight="1" x14ac:dyDescent="0.45">
      <c r="B40" s="3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44"/>
      <c r="C43" s="45"/>
      <c r="D43" s="45"/>
      <c r="J43" s="45"/>
      <c r="K43" s="45"/>
      <c r="L43" s="46"/>
    </row>
    <row r="44" spans="2:13" ht="20.149999999999999" customHeight="1" x14ac:dyDescent="0.45">
      <c r="B44" s="36" t="s">
        <v>25</v>
      </c>
      <c r="J44" s="19" t="s">
        <v>26</v>
      </c>
      <c r="L44" s="37"/>
    </row>
    <row r="45" spans="2:13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36">
    <mergeCell ref="J37:K37"/>
    <mergeCell ref="D17:F17"/>
    <mergeCell ref="I17:J17"/>
    <mergeCell ref="I18:J18"/>
    <mergeCell ref="D28:F28"/>
    <mergeCell ref="D29:F29"/>
    <mergeCell ref="D30:F30"/>
    <mergeCell ref="D31:F31"/>
    <mergeCell ref="J33:K33"/>
    <mergeCell ref="J35:K35"/>
    <mergeCell ref="D23:F23"/>
    <mergeCell ref="D24:F24"/>
    <mergeCell ref="D18:F18"/>
    <mergeCell ref="D19:F19"/>
    <mergeCell ref="D20:F20"/>
    <mergeCell ref="D21:F21"/>
    <mergeCell ref="I19:J19"/>
    <mergeCell ref="I20:J20"/>
    <mergeCell ref="D27:F27"/>
    <mergeCell ref="D22:F22"/>
    <mergeCell ref="D26:F26"/>
    <mergeCell ref="I25:J25"/>
    <mergeCell ref="I26:J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conditionalFormatting sqref="C25">
    <cfRule type="duplicateValues" dxfId="243" priority="1"/>
  </conditionalFormatting>
  <pageMargins left="0.70866141732283505" right="0.31496062992126" top="0.59055118110236204" bottom="0" header="0.31496062992126" footer="0.31496062992126"/>
  <pageSetup paperSize="9" scale="7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3099D-367F-4AB1-ABFC-C8218E8A7727}">
  <sheetPr codeName="Sheet117">
    <tabColor rgb="FF7030A0"/>
    <pageSetUpPr fitToPage="1"/>
  </sheetPr>
  <dimension ref="B1:P49"/>
  <sheetViews>
    <sheetView topLeftCell="A23" workbookViewId="0">
      <selection activeCell="C33" sqref="C33:K34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8164062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150</v>
      </c>
      <c r="J10" s="68" t="s">
        <v>27</v>
      </c>
      <c r="K10" s="464">
        <v>202412004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 - Dessert                                      535 Clementi Road Block 51, Level 2 Ngee Ann Polythenic NIC Singapore 599489                  </v>
      </c>
      <c r="G11" s="470"/>
      <c r="H11" s="471"/>
      <c r="J11" s="69" t="s">
        <v>9</v>
      </c>
      <c r="K11" s="478">
        <v>45628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69" t="s">
        <v>127</v>
      </c>
      <c r="K12" s="482" t="s">
        <v>331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69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69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70" t="s">
        <v>11</v>
      </c>
      <c r="K15" s="495"/>
      <c r="L15" s="496"/>
    </row>
    <row r="16" spans="2:12" ht="19" thickBot="1" x14ac:dyDescent="0.5">
      <c r="J16" s="71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703</v>
      </c>
      <c r="D18" s="487" t="str">
        <f>VLOOKUP(C18,'Sales Master'!B$3:D$537,2,)</f>
        <v>Mango Puree 芒果酱</v>
      </c>
      <c r="E18" s="487"/>
      <c r="F18" s="487"/>
      <c r="G18" s="76">
        <v>2</v>
      </c>
      <c r="H18" s="85" t="str">
        <f>VLOOKUP(C18,'Sales Master'!$B$3:$F$2488,5,0)</f>
        <v>1 KG/ Box盒</v>
      </c>
      <c r="I18" s="484" t="str">
        <f>VLOOKUP(C18,'Sales Master'!$B$3:$E$2488,4,0)</f>
        <v>DO!</v>
      </c>
      <c r="J18" s="484"/>
      <c r="K18" s="30">
        <f>VLOOKUP(C18,'Sales Master'!B$3:BB$537,53,0)</f>
        <v>7</v>
      </c>
      <c r="L18" s="64">
        <f>K18*G18</f>
        <v>14</v>
      </c>
      <c r="M18" s="65"/>
      <c r="N18" s="145">
        <f>VLOOKUP(C18,'Sales Master'!$B$3:$DA$2279,104,0)</f>
        <v>2.15</v>
      </c>
      <c r="O18" s="145">
        <f>K18-N18</f>
        <v>4.8499999999999996</v>
      </c>
      <c r="P18" s="145">
        <f>O18*G18</f>
        <v>9.6999999999999993</v>
      </c>
    </row>
    <row r="19" spans="2:16" ht="20.149999999999999" customHeight="1" x14ac:dyDescent="0.45">
      <c r="B19" s="29"/>
      <c r="C19" s="212" t="s">
        <v>733</v>
      </c>
      <c r="D19" s="487" t="str">
        <f>VLOOKUP(C19,'Sales Master'!B$3:D$537,2,)</f>
        <v>Tadpole JELLY  蝌蚪</v>
      </c>
      <c r="E19" s="487"/>
      <c r="F19" s="487"/>
      <c r="G19" s="76">
        <v>2</v>
      </c>
      <c r="H19" s="85" t="str">
        <f>VLOOKUP(C19,'Sales Master'!$B$3:$F$2488,5,0)</f>
        <v>1 KG/ Bag包</v>
      </c>
      <c r="I19" s="484" t="str">
        <f>VLOOKUP(C19,'Sales Master'!$B$3:$E$2488,4,0)</f>
        <v>FJ</v>
      </c>
      <c r="J19" s="484"/>
      <c r="K19" s="30">
        <f>VLOOKUP(C19,'Sales Master'!B$3:BB$537,53,0)</f>
        <v>6</v>
      </c>
      <c r="L19" s="64">
        <f>K19*G19</f>
        <v>12</v>
      </c>
      <c r="M19" s="65"/>
      <c r="N19" s="145">
        <f>VLOOKUP(C19,'Sales Master'!$B$3:$DA$2279,104,0)</f>
        <v>5.5</v>
      </c>
      <c r="O19" s="145">
        <f>K19-N19</f>
        <v>0.5</v>
      </c>
      <c r="P19" s="145">
        <f>O19*G19</f>
        <v>1</v>
      </c>
    </row>
    <row r="20" spans="2:16" ht="20.149999999999999" customHeight="1" x14ac:dyDescent="0.45">
      <c r="B20" s="29"/>
      <c r="C20" s="212" t="s">
        <v>812</v>
      </c>
      <c r="D20" s="487" t="str">
        <f>VLOOKUP(C20,'Sales Master'!B$3:D$537,2,)</f>
        <v>Red Bean 红豆 (5.5 mm)</v>
      </c>
      <c r="E20" s="487"/>
      <c r="F20" s="487"/>
      <c r="G20" s="76">
        <v>2</v>
      </c>
      <c r="H20" s="85" t="str">
        <f>VLOOKUP(C20,'Sales Master'!$B$3:$F$2488,5,0)</f>
        <v>5 KG</v>
      </c>
      <c r="I20" s="484" t="str">
        <f>VLOOKUP(C20,'Sales Master'!$B$3:$E$2488,4,0)</f>
        <v>-</v>
      </c>
      <c r="J20" s="484"/>
      <c r="K20" s="30">
        <f>VLOOKUP(C20,'Sales Master'!B$3:BB$537,53,0)</f>
        <v>17.5</v>
      </c>
      <c r="L20" s="64">
        <f>K20*G20</f>
        <v>35</v>
      </c>
      <c r="M20" s="65"/>
      <c r="N20" s="145">
        <f>VLOOKUP(C20,'Sales Master'!$B$3:$DA$2279,104,0)</f>
        <v>12.5</v>
      </c>
      <c r="O20" s="145">
        <f>K20-N20</f>
        <v>5</v>
      </c>
      <c r="P20" s="145">
        <f>O20*G20</f>
        <v>10</v>
      </c>
    </row>
    <row r="21" spans="2:16" ht="20.149999999999999" customHeight="1" x14ac:dyDescent="0.45">
      <c r="B21" s="29"/>
      <c r="C21" s="212" t="s">
        <v>825</v>
      </c>
      <c r="D21" s="487" t="str">
        <f>VLOOKUP(C21,'Sales Master'!B$3:D$537,2,)</f>
        <v>Green Bean 绿豆</v>
      </c>
      <c r="E21" s="487"/>
      <c r="F21" s="487"/>
      <c r="G21" s="76">
        <v>1</v>
      </c>
      <c r="H21" s="85" t="str">
        <f>VLOOKUP(C21,'Sales Master'!$B$3:$F$2488,5,0)</f>
        <v>5 KG</v>
      </c>
      <c r="I21" s="484" t="str">
        <f>VLOOKUP(C21,'Sales Master'!$B$3:$E$2488,4,0)</f>
        <v>-</v>
      </c>
      <c r="J21" s="484"/>
      <c r="K21" s="30">
        <f>VLOOKUP(C21,'Sales Master'!B$3:BB$537,53,0)</f>
        <v>13</v>
      </c>
      <c r="L21" s="64">
        <f>K21*G21</f>
        <v>13</v>
      </c>
      <c r="M21" s="65"/>
      <c r="N21" s="145">
        <f>VLOOKUP(C21,'Sales Master'!$B$3:$DA$2279,104,0)</f>
        <v>8.75</v>
      </c>
      <c r="O21" s="145">
        <f>K21-N21</f>
        <v>4.25</v>
      </c>
      <c r="P21" s="145">
        <f>O21*G21</f>
        <v>4.25</v>
      </c>
    </row>
    <row r="22" spans="2:16" ht="20.149999999999999" customHeight="1" x14ac:dyDescent="0.45">
      <c r="B22" s="29"/>
      <c r="C22" s="212" t="s">
        <v>837</v>
      </c>
      <c r="D22" s="487" t="str">
        <f>VLOOKUP(C22,'Sales Master'!B$3:D$537,2,)</f>
        <v>Black Glutinous Rice 黑糯米</v>
      </c>
      <c r="E22" s="487"/>
      <c r="F22" s="487"/>
      <c r="G22" s="76">
        <v>1</v>
      </c>
      <c r="H22" s="85" t="str">
        <f>VLOOKUP(C22,'Sales Master'!$B$3:$F$2488,5,0)</f>
        <v>5 KGS</v>
      </c>
      <c r="I22" s="484" t="str">
        <f>VLOOKUP(C22,'Sales Master'!$B$3:$E$2488,4,0)</f>
        <v>-</v>
      </c>
      <c r="J22" s="484"/>
      <c r="K22" s="30">
        <f>VLOOKUP(C22,'Sales Master'!B$3:BB$537,53,0)</f>
        <v>18</v>
      </c>
      <c r="L22" s="64">
        <f t="shared" ref="L22" si="0">K22*G22</f>
        <v>18</v>
      </c>
      <c r="M22" s="65"/>
      <c r="N22" s="145">
        <f>VLOOKUP(C22,'Sales Master'!$B$3:$DA$2279,104,0)</f>
        <v>12</v>
      </c>
      <c r="O22" s="145">
        <f t="shared" ref="O22" si="1">K22-N22</f>
        <v>6</v>
      </c>
      <c r="P22" s="145">
        <f t="shared" ref="P22" si="2">O22*G22</f>
        <v>6</v>
      </c>
    </row>
    <row r="23" spans="2:16" ht="20.149999999999999" customHeight="1" x14ac:dyDescent="0.45">
      <c r="B23" s="29"/>
      <c r="C23" s="212" t="s">
        <v>846</v>
      </c>
      <c r="D23" s="487" t="str">
        <f>VLOOKUP(C23,'Sales Master'!B$3:D$537,2,)</f>
        <v>Pearl Barley 薏米</v>
      </c>
      <c r="E23" s="487"/>
      <c r="F23" s="487"/>
      <c r="G23" s="76">
        <v>1</v>
      </c>
      <c r="H23" s="85" t="str">
        <f>VLOOKUP(C23,'Sales Master'!$B$3:$F$2488,5,0)</f>
        <v>5 KG</v>
      </c>
      <c r="I23" s="484" t="str">
        <f>VLOOKUP(C23,'Sales Master'!$B$3:$E$2488,4,0)</f>
        <v>-</v>
      </c>
      <c r="J23" s="484"/>
      <c r="K23" s="30">
        <f>VLOOKUP(C23,'Sales Master'!B$3:BB$537,53,0)</f>
        <v>10</v>
      </c>
      <c r="L23" s="64">
        <f t="shared" ref="L23" si="3">K23*G23</f>
        <v>10</v>
      </c>
      <c r="M23" s="65"/>
      <c r="N23" s="145">
        <f>VLOOKUP(C23,'Sales Master'!$B$3:$DA$2279,104,0)</f>
        <v>7.6</v>
      </c>
      <c r="O23" s="145">
        <f t="shared" ref="O23" si="4">K23-N23</f>
        <v>2.4000000000000004</v>
      </c>
      <c r="P23" s="145">
        <f t="shared" ref="P23" si="5">O23*G23</f>
        <v>2.4000000000000004</v>
      </c>
    </row>
    <row r="24" spans="2:16" ht="20.149999999999999" customHeight="1" x14ac:dyDescent="0.45">
      <c r="B24" s="29"/>
      <c r="C24" s="212" t="s">
        <v>856</v>
      </c>
      <c r="D24" s="487" t="str">
        <f>VLOOKUP(C24,'Sales Master'!B$3:D$537,2,)</f>
        <v>Dried Longan 龙眼干</v>
      </c>
      <c r="E24" s="487"/>
      <c r="F24" s="487"/>
      <c r="G24" s="76">
        <v>1</v>
      </c>
      <c r="H24" s="85" t="str">
        <f>VLOOKUP(C24,'Sales Master'!$B$3:$F$2488,5,0)</f>
        <v>1 kg/ Pkt包</v>
      </c>
      <c r="I24" s="484" t="str">
        <f>VLOOKUP(C24,'Sales Master'!$B$3:$E$2488,4,0)</f>
        <v>TL</v>
      </c>
      <c r="J24" s="484"/>
      <c r="K24" s="30">
        <f>VLOOKUP(C24,'Sales Master'!B$3:BB$537,53,0)</f>
        <v>12</v>
      </c>
      <c r="L24" s="64">
        <f>K24*G24</f>
        <v>12</v>
      </c>
      <c r="M24" s="65"/>
      <c r="N24" s="145">
        <f>VLOOKUP(C24,'Sales Master'!$B$3:$DA$2279,104,0)</f>
        <v>8.8000000000000007</v>
      </c>
      <c r="O24" s="145">
        <f>K24-N24</f>
        <v>3.1999999999999993</v>
      </c>
      <c r="P24" s="145">
        <f>O24*G24</f>
        <v>3.1999999999999993</v>
      </c>
    </row>
    <row r="25" spans="2:16" ht="20.149999999999999" customHeight="1" x14ac:dyDescent="0.45">
      <c r="B25" s="29"/>
      <c r="C25" s="212" t="s">
        <v>929</v>
      </c>
      <c r="D25" s="487" t="str">
        <f>VLOOKUP(C25,'Sales Master'!B$3:D$537,2,)</f>
        <v>Aloe Vera 芦荟 10mm</v>
      </c>
      <c r="E25" s="487"/>
      <c r="F25" s="487"/>
      <c r="G25" s="76">
        <v>1</v>
      </c>
      <c r="H25" s="85" t="str">
        <f>VLOOKUP(C25,'Sales Master'!$B$3:$F$2488,5,0)</f>
        <v>1 Can X A10</v>
      </c>
      <c r="I25" s="484" t="str">
        <f>VLOOKUP(C25,'Sales Master'!$B$3:$E$2488,4,0)</f>
        <v>Chefs</v>
      </c>
      <c r="J25" s="484"/>
      <c r="K25" s="30">
        <f>VLOOKUP(C25,'Sales Master'!B$3:BB$537,53,0)</f>
        <v>10</v>
      </c>
      <c r="L25" s="64">
        <f>K25*G25</f>
        <v>10</v>
      </c>
      <c r="M25" s="65"/>
      <c r="N25" s="145">
        <f>VLOOKUP(C25,'Sales Master'!$B$3:$DA$2279,104,0)</f>
        <v>7</v>
      </c>
      <c r="O25" s="145">
        <f>K25-N25</f>
        <v>3</v>
      </c>
      <c r="P25" s="145">
        <f>O25*G25</f>
        <v>3</v>
      </c>
    </row>
    <row r="26" spans="2:16" ht="19.5" customHeight="1" x14ac:dyDescent="0.45">
      <c r="B26" s="29"/>
      <c r="C26" s="212" t="s">
        <v>966</v>
      </c>
      <c r="D26" s="487" t="str">
        <f>VLOOKUP(C26,'Sales Master'!B$3:D$537,2,)</f>
        <v>Coconut Milk 椰浆</v>
      </c>
      <c r="E26" s="487"/>
      <c r="F26" s="487"/>
      <c r="G26" s="76">
        <v>2</v>
      </c>
      <c r="H26" s="85" t="str">
        <f>VLOOKUP(C26,'Sales Master'!$B$3:$F$2488,5,0)</f>
        <v>(1L x 12bag)/箱</v>
      </c>
      <c r="I26" s="484" t="str">
        <f>VLOOKUP(C26,'Sales Master'!$B$3:$E$2488,4,0)</f>
        <v>Kara UHT</v>
      </c>
      <c r="J26" s="484"/>
      <c r="K26" s="30">
        <f>VLOOKUP(C26,'Sales Master'!B$3:BB$537,53,0)</f>
        <v>54</v>
      </c>
      <c r="L26" s="64">
        <f t="shared" ref="L26" si="6">K26*G26</f>
        <v>108</v>
      </c>
      <c r="M26" s="65"/>
      <c r="N26" s="145">
        <f>VLOOKUP(C26,'Sales Master'!$B$3:$DA$2279,104,0)</f>
        <v>35.799999999999997</v>
      </c>
      <c r="O26" s="145">
        <f t="shared" ref="O26" si="7">K26-N26</f>
        <v>18.200000000000003</v>
      </c>
      <c r="P26" s="145">
        <f t="shared" ref="P26" si="8">O26*G26</f>
        <v>36.400000000000006</v>
      </c>
    </row>
    <row r="27" spans="2:16" ht="20.149999999999999" customHeight="1" x14ac:dyDescent="0.45">
      <c r="B27" s="29"/>
      <c r="C27" s="212" t="s">
        <v>1129</v>
      </c>
      <c r="D27" s="487" t="str">
        <f>VLOOKUP(C27,'Sales Master'!B$3:D$537,2,)</f>
        <v>Nata 椰果芊 10 x 10MM</v>
      </c>
      <c r="E27" s="487"/>
      <c r="F27" s="487"/>
      <c r="G27" s="76">
        <v>1</v>
      </c>
      <c r="H27" s="85" t="str">
        <f>VLOOKUP(C27,'Sales Master'!$B$3:$F$2488,5,0)</f>
        <v>1 Can X A10</v>
      </c>
      <c r="I27" s="484" t="str">
        <f>VLOOKUP(C27,'Sales Master'!$B$3:$E$2488,4,0)</f>
        <v>Golden boy</v>
      </c>
      <c r="J27" s="484"/>
      <c r="K27" s="30">
        <f>VLOOKUP(C27,'Sales Master'!B$3:BB$537,53,0)</f>
        <v>9.5</v>
      </c>
      <c r="L27" s="64">
        <f t="shared" ref="L27:L30" si="9">K27*G27</f>
        <v>9.5</v>
      </c>
      <c r="M27" s="65"/>
      <c r="N27" s="145">
        <f>VLOOKUP(C27,'Sales Master'!$B$3:$DA$2279,104,0)</f>
        <v>8</v>
      </c>
      <c r="O27" s="145">
        <f t="shared" ref="O27:O30" si="10">K27-N27</f>
        <v>1.5</v>
      </c>
      <c r="P27" s="145">
        <f t="shared" ref="P27:P30" si="11">O27*G27</f>
        <v>1.5</v>
      </c>
    </row>
    <row r="28" spans="2:16" ht="20.149999999999999" customHeight="1" x14ac:dyDescent="0.45">
      <c r="B28" s="66"/>
      <c r="C28" s="212" t="s">
        <v>1009</v>
      </c>
      <c r="D28" s="487" t="str">
        <f>VLOOKUP(C28,'Sales Master'!B$3:D$537,2,)</f>
        <v>Pandan Leaf 班兰叶</v>
      </c>
      <c r="E28" s="487"/>
      <c r="F28" s="487"/>
      <c r="G28" s="76">
        <v>2</v>
      </c>
      <c r="H28" s="85" t="str">
        <f>VLOOKUP(C28,'Sales Master'!$B$3:$F$2488,5,0)</f>
        <v>1 KG</v>
      </c>
      <c r="I28" s="484" t="str">
        <f>VLOOKUP(C28,'Sales Master'!$B$3:$E$2488,4,0)</f>
        <v>-</v>
      </c>
      <c r="J28" s="484"/>
      <c r="K28" s="30">
        <f>VLOOKUP(C28,'Sales Master'!B$3:BB$537,53,0)</f>
        <v>1.8</v>
      </c>
      <c r="L28" s="64">
        <f t="shared" si="9"/>
        <v>3.6</v>
      </c>
      <c r="M28" s="65"/>
      <c r="N28" s="145">
        <f>VLOOKUP(C28,'Sales Master'!$B$3:$DA$2279,104,0)</f>
        <v>1.1000000000000001</v>
      </c>
      <c r="O28" s="145">
        <f t="shared" si="10"/>
        <v>0.7</v>
      </c>
      <c r="P28" s="145">
        <f t="shared" si="11"/>
        <v>1.4</v>
      </c>
    </row>
    <row r="29" spans="2:16" ht="20.149999999999999" customHeight="1" x14ac:dyDescent="0.45">
      <c r="B29" s="29"/>
      <c r="C29" s="212" t="s">
        <v>1017</v>
      </c>
      <c r="D29" s="498" t="str">
        <f>VLOOKUP(C29,'Sales Master'!B$3:D$537,2,)</f>
        <v>Food Coloring - Liquid 颜色水</v>
      </c>
      <c r="E29" s="498"/>
      <c r="F29" s="498"/>
      <c r="G29" s="76">
        <v>1</v>
      </c>
      <c r="H29" s="85" t="str">
        <f>VLOOKUP(C29,'Sales Master'!$B$3:$F$2488,5,0)</f>
        <v>500 ML/ Btl支</v>
      </c>
      <c r="I29" s="484" t="str">
        <f>VLOOKUP(C29,'Sales Master'!$B$3:$E$2488,4,0)</f>
        <v>Red/红</v>
      </c>
      <c r="J29" s="484"/>
      <c r="K29" s="30">
        <f>VLOOKUP(C29,'Sales Master'!B$3:BB$537,53,0)</f>
        <v>2.5</v>
      </c>
      <c r="L29" s="64">
        <f t="shared" si="9"/>
        <v>2.5</v>
      </c>
      <c r="M29" s="65"/>
      <c r="N29" s="145">
        <f>VLOOKUP(C29,'Sales Master'!$B$3:$DA$2279,104,0)</f>
        <v>1.8399999999999999</v>
      </c>
      <c r="O29" s="145">
        <f t="shared" si="10"/>
        <v>0.66000000000000014</v>
      </c>
      <c r="P29" s="145">
        <f t="shared" si="11"/>
        <v>0.66000000000000014</v>
      </c>
    </row>
    <row r="30" spans="2:16" ht="20.149999999999999" customHeight="1" x14ac:dyDescent="0.45">
      <c r="B30" s="29"/>
      <c r="C30" s="212" t="s">
        <v>1018</v>
      </c>
      <c r="D30" s="498" t="str">
        <f>VLOOKUP(C30,'Sales Master'!B$3:D$537,2,)</f>
        <v>Food Coloring - Liquid 颜色水</v>
      </c>
      <c r="E30" s="498"/>
      <c r="F30" s="498"/>
      <c r="G30" s="76">
        <v>1</v>
      </c>
      <c r="H30" s="85" t="str">
        <f>VLOOKUP(C30,'Sales Master'!$B$3:$F$2488,5,0)</f>
        <v>500 ML/ Btl支</v>
      </c>
      <c r="I30" s="484" t="str">
        <f>VLOOKUP(C30,'Sales Master'!$B$3:$E$2488,4,0)</f>
        <v>Green/青</v>
      </c>
      <c r="J30" s="484"/>
      <c r="K30" s="30">
        <f>VLOOKUP(C30,'Sales Master'!B$3:BB$537,53,0)</f>
        <v>2.5</v>
      </c>
      <c r="L30" s="64">
        <f t="shared" si="9"/>
        <v>2.5</v>
      </c>
      <c r="M30" s="65"/>
      <c r="N30" s="145">
        <f>VLOOKUP(C30,'Sales Master'!$B$3:$DA$2279,104,0)</f>
        <v>1.8399999999999999</v>
      </c>
      <c r="O30" s="145">
        <f t="shared" si="10"/>
        <v>0.66000000000000014</v>
      </c>
      <c r="P30" s="145">
        <f t="shared" si="11"/>
        <v>0.66000000000000014</v>
      </c>
    </row>
    <row r="31" spans="2:16" ht="20.149999999999999" customHeight="1" x14ac:dyDescent="0.45">
      <c r="B31" s="29"/>
      <c r="C31" s="17"/>
      <c r="G31" s="76"/>
      <c r="H31" s="85"/>
      <c r="I31" s="208"/>
      <c r="J31" s="208"/>
      <c r="K31" s="30"/>
      <c r="L31" s="64"/>
      <c r="M31" s="65"/>
      <c r="N31" s="145"/>
      <c r="O31" s="145"/>
      <c r="P31" s="145"/>
    </row>
    <row r="32" spans="2:16" ht="20.149999999999999" customHeight="1" x14ac:dyDescent="0.45">
      <c r="B32" s="29"/>
      <c r="C32" s="17"/>
      <c r="G32" s="76"/>
      <c r="H32" s="85"/>
      <c r="I32" s="208"/>
      <c r="J32" s="208"/>
      <c r="K32" s="30"/>
      <c r="L32" s="64"/>
      <c r="M32" s="65"/>
      <c r="N32" s="145"/>
      <c r="O32" s="145"/>
      <c r="P32" s="145"/>
    </row>
    <row r="33" spans="2:16" ht="20.149999999999999" customHeight="1" x14ac:dyDescent="0.45">
      <c r="B33" s="29"/>
      <c r="C33" s="149" t="s">
        <v>2271</v>
      </c>
      <c r="D33" s="403"/>
      <c r="E33" s="403"/>
      <c r="F33" s="403"/>
      <c r="G33" s="76"/>
      <c r="H33" s="186"/>
      <c r="I33" s="484"/>
      <c r="J33" s="484"/>
      <c r="K33" s="190"/>
      <c r="L33" s="64"/>
      <c r="M33" s="65"/>
      <c r="N33" s="145"/>
      <c r="O33" s="145"/>
      <c r="P33" s="145"/>
    </row>
    <row r="34" spans="2:16" ht="20.149999999999999" customHeight="1" x14ac:dyDescent="0.45">
      <c r="B34" s="29"/>
      <c r="C34" s="212" t="s">
        <v>966</v>
      </c>
      <c r="D34" s="493" t="e">
        <f>VLOOKUP(C34,#REF!,2,0)</f>
        <v>#REF!</v>
      </c>
      <c r="E34" s="493"/>
      <c r="F34" s="493"/>
      <c r="G34" s="17">
        <v>1</v>
      </c>
      <c r="H34" s="186" t="e">
        <f>VLOOKUP(C34,#REF!,5,0)</f>
        <v>#REF!</v>
      </c>
      <c r="I34" s="484" t="e">
        <f>VLOOKUP(C34,#REF!,4,0)</f>
        <v>#REF!</v>
      </c>
      <c r="J34" s="484"/>
      <c r="K34" s="190">
        <v>48</v>
      </c>
      <c r="L34" s="64"/>
      <c r="M34" s="65"/>
      <c r="N34" s="145"/>
      <c r="O34" s="145"/>
      <c r="P34" s="145"/>
    </row>
    <row r="35" spans="2:16" ht="20.149999999999999" customHeight="1" thickBot="1" x14ac:dyDescent="0.5">
      <c r="B35" s="32"/>
      <c r="C35" s="33"/>
      <c r="D35" s="488"/>
      <c r="E35" s="488"/>
      <c r="F35" s="488"/>
      <c r="G35" s="33"/>
      <c r="H35" s="57"/>
      <c r="I35" s="528"/>
      <c r="J35" s="528"/>
      <c r="K35" s="34"/>
      <c r="L35" s="35"/>
    </row>
    <row r="36" spans="2:16" ht="20.149999999999999" customHeight="1" thickBot="1" x14ac:dyDescent="0.5">
      <c r="B36" s="36"/>
      <c r="L36" s="37"/>
    </row>
    <row r="37" spans="2:16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72"/>
      <c r="J37" s="489" t="s">
        <v>13</v>
      </c>
      <c r="K37" s="490"/>
      <c r="L37" s="38">
        <f>SUM(L17:L36)</f>
        <v>250.1</v>
      </c>
      <c r="M37" s="63">
        <f>SUM(P18:P36)-L37*0.02</f>
        <v>75.168000000000006</v>
      </c>
    </row>
    <row r="38" spans="2:16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72"/>
      <c r="J38" s="39" t="s">
        <v>20</v>
      </c>
      <c r="K38" s="40"/>
      <c r="L38" s="41">
        <f>L37*K38</f>
        <v>0</v>
      </c>
    </row>
    <row r="39" spans="2:16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72"/>
      <c r="J39" s="491" t="s">
        <v>19</v>
      </c>
      <c r="K39" s="492"/>
      <c r="L39" s="41">
        <f>L37-L38</f>
        <v>250.1</v>
      </c>
    </row>
    <row r="40" spans="2:16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72"/>
      <c r="J40" s="102" t="s">
        <v>15</v>
      </c>
      <c r="K40" s="103">
        <f>'Sales Master'!$B$1</f>
        <v>0.09</v>
      </c>
      <c r="L40" s="42">
        <f>L39*K40</f>
        <v>22.509</v>
      </c>
    </row>
    <row r="41" spans="2:16" ht="20.149999999999999" customHeight="1" thickBot="1" x14ac:dyDescent="0.5">
      <c r="B41" s="10" t="s">
        <v>23</v>
      </c>
      <c r="C41" s="6"/>
      <c r="D41" s="6"/>
      <c r="E41" s="6"/>
      <c r="F41" s="6"/>
      <c r="G41" s="6"/>
      <c r="H41" s="6"/>
      <c r="I41" s="72"/>
      <c r="J41" s="485" t="s">
        <v>21</v>
      </c>
      <c r="K41" s="486"/>
      <c r="L41" s="43">
        <f>L39+L40</f>
        <v>272.60899999999998</v>
      </c>
    </row>
    <row r="42" spans="2:16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72"/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36"/>
      <c r="L46" s="37"/>
    </row>
    <row r="47" spans="2:16" ht="20.149999999999999" customHeight="1" x14ac:dyDescent="0.45">
      <c r="B47" s="44"/>
      <c r="C47" s="45"/>
      <c r="D47" s="45"/>
      <c r="J47" s="73"/>
      <c r="K47" s="45"/>
      <c r="L47" s="46"/>
    </row>
    <row r="48" spans="2:16" ht="20.149999999999999" customHeight="1" x14ac:dyDescent="0.45">
      <c r="B48" s="36" t="s">
        <v>25</v>
      </c>
      <c r="J48" s="67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74"/>
      <c r="J49" s="74"/>
      <c r="K49" s="48"/>
      <c r="L49" s="49"/>
    </row>
  </sheetData>
  <mergeCells count="49">
    <mergeCell ref="D29:F29"/>
    <mergeCell ref="I21:J21"/>
    <mergeCell ref="I29:J29"/>
    <mergeCell ref="D23:F23"/>
    <mergeCell ref="I23:J23"/>
    <mergeCell ref="D28:F28"/>
    <mergeCell ref="I28:J28"/>
    <mergeCell ref="D21:F21"/>
    <mergeCell ref="D26:F26"/>
    <mergeCell ref="I26:J26"/>
    <mergeCell ref="J41:K41"/>
    <mergeCell ref="D35:F35"/>
    <mergeCell ref="I35:J35"/>
    <mergeCell ref="D30:F30"/>
    <mergeCell ref="I30:J30"/>
    <mergeCell ref="J39:K39"/>
    <mergeCell ref="J37:K37"/>
    <mergeCell ref="I33:J33"/>
    <mergeCell ref="D34:F34"/>
    <mergeCell ref="I34:J34"/>
    <mergeCell ref="I18:J18"/>
    <mergeCell ref="D25:F25"/>
    <mergeCell ref="D27:F27"/>
    <mergeCell ref="D22:F22"/>
    <mergeCell ref="D20:F20"/>
    <mergeCell ref="D18:F18"/>
    <mergeCell ref="I25:J25"/>
    <mergeCell ref="I27:J27"/>
    <mergeCell ref="I22:J22"/>
    <mergeCell ref="I20:J20"/>
    <mergeCell ref="D24:F24"/>
    <mergeCell ref="I24:J24"/>
    <mergeCell ref="D19:F19"/>
    <mergeCell ref="I19:J19"/>
    <mergeCell ref="B1:L8"/>
    <mergeCell ref="D17:F17"/>
    <mergeCell ref="I17:J17"/>
    <mergeCell ref="K12:L12"/>
    <mergeCell ref="B13:D13"/>
    <mergeCell ref="K13:L13"/>
    <mergeCell ref="B14:D14"/>
    <mergeCell ref="K14:L14"/>
    <mergeCell ref="K10:L10"/>
    <mergeCell ref="B11:D11"/>
    <mergeCell ref="F11:H15"/>
    <mergeCell ref="K11:L11"/>
    <mergeCell ref="B15:D15"/>
    <mergeCell ref="B12:D12"/>
    <mergeCell ref="K15:L15"/>
  </mergeCells>
  <conditionalFormatting sqref="C33">
    <cfRule type="duplicateValues" dxfId="242" priority="1"/>
  </conditionalFormatting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9A116-A845-4444-9055-BA69672C6A37}">
  <sheetPr codeName="Sheet37">
    <tabColor rgb="FF7030A0"/>
    <pageSetUpPr fitToPage="1"/>
  </sheetPr>
  <dimension ref="B1:P39"/>
  <sheetViews>
    <sheetView topLeftCell="D5" workbookViewId="0">
      <selection activeCell="N17" sqref="N17:P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632812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346">
        <f>'#01'!M1</f>
        <v>0.09</v>
      </c>
    </row>
    <row r="2" spans="2:13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3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3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3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3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3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3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68</v>
      </c>
      <c r="J10" s="24" t="s">
        <v>27</v>
      </c>
      <c r="K10" s="464">
        <v>202407419</v>
      </c>
      <c r="L10" s="465"/>
    </row>
    <row r="11" spans="2:13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Koufu Rasapura Masters                    2, Bayfront Avenue #B2-49A/50A Singapore 018972                               (Fruit)</v>
      </c>
      <c r="G11" s="470"/>
      <c r="H11" s="471"/>
      <c r="J11" s="26" t="s">
        <v>9</v>
      </c>
      <c r="K11" s="478">
        <v>45490</v>
      </c>
      <c r="L11" s="479"/>
    </row>
    <row r="12" spans="2:13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2075</v>
      </c>
      <c r="L12" s="483"/>
    </row>
    <row r="13" spans="2:13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3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3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3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700</v>
      </c>
      <c r="D18" s="497" t="str">
        <f>VLOOKUP(C18,'Sales Master'!B$3:D$537,2,)</f>
        <v>Fresh Soursop Seedless 红毛榴莲(无)</v>
      </c>
      <c r="E18" s="497"/>
      <c r="F18" s="497"/>
      <c r="G18" s="17">
        <v>2</v>
      </c>
      <c r="H18" s="186" t="str">
        <f>VLOOKUP(C18,'Sales Master'!$B$3:$F$2488,5,0)</f>
        <v>GW:5 KG/ Tub桶</v>
      </c>
      <c r="I18" s="484" t="str">
        <f>VLOOKUP(C18,'Sales Master'!$B$3:$E$2488,4,0)</f>
        <v>DO!</v>
      </c>
      <c r="J18" s="484"/>
      <c r="K18" s="30">
        <f>VLOOKUP(C18,'Sales Master'!$B$3:$AS$537,44,0)</f>
        <v>37</v>
      </c>
      <c r="L18" s="31">
        <f>K18*G18</f>
        <v>74</v>
      </c>
      <c r="N18" s="145">
        <f>VLOOKUP(C18,'Sales Master'!$B$3:$DA$2279,104,0)</f>
        <v>25.4</v>
      </c>
      <c r="O18" s="145">
        <f>K18-N18</f>
        <v>11.600000000000001</v>
      </c>
      <c r="P18" s="145">
        <f>O18*G18</f>
        <v>23.200000000000003</v>
      </c>
    </row>
    <row r="19" spans="2:16" ht="20.149999999999999" customHeight="1" x14ac:dyDescent="0.45">
      <c r="B19" s="29"/>
      <c r="C19" s="17"/>
      <c r="D19" s="487"/>
      <c r="E19" s="487"/>
      <c r="F19" s="487"/>
      <c r="G19" s="17"/>
      <c r="H19" s="56"/>
      <c r="I19" s="494"/>
      <c r="J19" s="494"/>
      <c r="K19" s="30"/>
      <c r="L19" s="31"/>
    </row>
    <row r="20" spans="2:16" ht="20.149999999999999" customHeight="1" x14ac:dyDescent="0.45">
      <c r="B20" s="29"/>
      <c r="G20" s="17"/>
      <c r="H20" s="56"/>
      <c r="I20" s="494"/>
      <c r="J20" s="494"/>
      <c r="K20" s="30"/>
      <c r="L20" s="31"/>
    </row>
    <row r="21" spans="2:16" ht="20.149999999999999" customHeight="1" x14ac:dyDescent="0.45">
      <c r="B21" s="29"/>
      <c r="C21" s="17"/>
      <c r="D21" s="487"/>
      <c r="E21" s="487"/>
      <c r="F21" s="487"/>
      <c r="G21" s="17"/>
      <c r="H21" s="56"/>
      <c r="I21" s="458"/>
      <c r="J21" s="458"/>
      <c r="K21" s="30"/>
      <c r="L21" s="31"/>
    </row>
    <row r="22" spans="2:16" ht="20.149999999999999" customHeight="1" x14ac:dyDescent="0.45">
      <c r="B22" s="29"/>
      <c r="C22" s="17"/>
      <c r="D22" s="487"/>
      <c r="E22" s="487"/>
      <c r="F22" s="487"/>
      <c r="G22" s="17"/>
      <c r="H22" s="56"/>
      <c r="I22" s="458"/>
      <c r="J22" s="458"/>
      <c r="K22" s="30"/>
      <c r="L22" s="31"/>
    </row>
    <row r="23" spans="2:16" ht="20.149999999999999" customHeight="1" x14ac:dyDescent="0.45">
      <c r="B23" s="29"/>
      <c r="C23" s="17"/>
      <c r="D23" s="487"/>
      <c r="E23" s="487"/>
      <c r="F23" s="487"/>
      <c r="G23" s="17"/>
      <c r="H23" s="56"/>
      <c r="I23" s="458"/>
      <c r="J23" s="458"/>
      <c r="K23" s="30"/>
      <c r="L23" s="31"/>
    </row>
    <row r="24" spans="2:16" ht="20.149999999999999" customHeight="1" x14ac:dyDescent="0.45">
      <c r="B24" s="29"/>
      <c r="C24" s="17"/>
      <c r="D24" s="487"/>
      <c r="E24" s="487"/>
      <c r="F24" s="487"/>
      <c r="G24" s="17"/>
      <c r="H24" s="17"/>
      <c r="I24" s="17"/>
      <c r="J24" s="17"/>
      <c r="K24" s="30"/>
      <c r="L24" s="31"/>
    </row>
    <row r="25" spans="2:16" ht="20.149999999999999" customHeight="1" thickBot="1" x14ac:dyDescent="0.5">
      <c r="B25" s="32"/>
      <c r="C25" s="33"/>
      <c r="D25" s="488"/>
      <c r="E25" s="488"/>
      <c r="F25" s="488"/>
      <c r="G25" s="33"/>
      <c r="H25" s="33"/>
      <c r="I25" s="33"/>
      <c r="J25" s="33"/>
      <c r="K25" s="34"/>
      <c r="L25" s="35"/>
    </row>
    <row r="26" spans="2:16" ht="20.149999999999999" customHeight="1" thickBot="1" x14ac:dyDescent="0.5">
      <c r="B26" s="36"/>
      <c r="L26" s="37"/>
    </row>
    <row r="27" spans="2:16" ht="20.149999999999999" customHeight="1" x14ac:dyDescent="0.45">
      <c r="B27" s="10" t="s">
        <v>16</v>
      </c>
      <c r="C27" s="6"/>
      <c r="D27" s="6"/>
      <c r="E27" s="6"/>
      <c r="F27" s="6"/>
      <c r="G27" s="6"/>
      <c r="H27" s="6"/>
      <c r="I27" s="6"/>
      <c r="J27" s="489" t="s">
        <v>13</v>
      </c>
      <c r="K27" s="490"/>
      <c r="L27" s="38">
        <f>SUM(L17:L25)</f>
        <v>74</v>
      </c>
      <c r="M27" s="63">
        <f>SUM(P18:P20)-L27*0.04</f>
        <v>20.240000000000002</v>
      </c>
      <c r="N27" s="133">
        <f>M27/L27</f>
        <v>0.27351351351351355</v>
      </c>
    </row>
    <row r="28" spans="2:16" ht="20.149999999999999" customHeight="1" x14ac:dyDescent="0.45">
      <c r="B28" s="10" t="s">
        <v>17</v>
      </c>
      <c r="C28" s="6"/>
      <c r="D28" s="6"/>
      <c r="E28" s="6"/>
      <c r="F28" s="6"/>
      <c r="G28" s="6"/>
      <c r="H28" s="6"/>
      <c r="I28" s="6"/>
      <c r="J28" s="39" t="s">
        <v>20</v>
      </c>
      <c r="K28" s="40"/>
      <c r="L28" s="41">
        <f>L27*K28</f>
        <v>0</v>
      </c>
    </row>
    <row r="29" spans="2:16" ht="20.149999999999999" customHeight="1" x14ac:dyDescent="0.45">
      <c r="B29" s="10" t="s">
        <v>18</v>
      </c>
      <c r="C29" s="6"/>
      <c r="D29" s="6"/>
      <c r="E29" s="6"/>
      <c r="F29" s="6"/>
      <c r="G29" s="6"/>
      <c r="H29" s="6"/>
      <c r="I29" s="6"/>
      <c r="J29" s="491" t="s">
        <v>19</v>
      </c>
      <c r="K29" s="492"/>
      <c r="L29" s="41">
        <f>L27-L28</f>
        <v>74</v>
      </c>
    </row>
    <row r="30" spans="2:16" ht="20.149999999999999" customHeight="1" x14ac:dyDescent="0.45">
      <c r="B30" s="10" t="s">
        <v>22</v>
      </c>
      <c r="C30" s="6"/>
      <c r="D30" s="6"/>
      <c r="E30" s="6"/>
      <c r="F30" s="6"/>
      <c r="G30" s="6"/>
      <c r="H30" s="6"/>
      <c r="I30" s="6"/>
      <c r="J30" s="102" t="s">
        <v>15</v>
      </c>
      <c r="K30" s="103">
        <f>'Sales Master'!$B$1</f>
        <v>0.09</v>
      </c>
      <c r="L30" s="42">
        <f>L29*K30</f>
        <v>6.66</v>
      </c>
    </row>
    <row r="31" spans="2:16" ht="20.149999999999999" customHeight="1" thickBot="1" x14ac:dyDescent="0.5">
      <c r="B31" s="10" t="s">
        <v>23</v>
      </c>
      <c r="C31" s="6"/>
      <c r="D31" s="6"/>
      <c r="E31" s="6"/>
      <c r="F31" s="6"/>
      <c r="G31" s="6"/>
      <c r="H31" s="6"/>
      <c r="I31" s="6"/>
      <c r="J31" s="485" t="s">
        <v>21</v>
      </c>
      <c r="K31" s="486"/>
      <c r="L31" s="43">
        <f>L29+L30</f>
        <v>80.66</v>
      </c>
    </row>
    <row r="32" spans="2:16" ht="20.149999999999999" customHeight="1" x14ac:dyDescent="0.45">
      <c r="B32" s="10" t="s">
        <v>24</v>
      </c>
      <c r="C32" s="6"/>
      <c r="D32" s="6"/>
      <c r="E32" s="6"/>
      <c r="F32" s="6"/>
      <c r="G32" s="6"/>
      <c r="H32" s="6"/>
      <c r="I32" s="6"/>
      <c r="L32" s="37"/>
    </row>
    <row r="33" spans="2:12" ht="20.149999999999999" customHeight="1" x14ac:dyDescent="0.45">
      <c r="B33" s="3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44"/>
      <c r="C37" s="45"/>
      <c r="D37" s="45"/>
      <c r="J37" s="45"/>
      <c r="K37" s="45"/>
      <c r="L37" s="46"/>
    </row>
    <row r="38" spans="2:12" ht="20.149999999999999" customHeight="1" x14ac:dyDescent="0.45">
      <c r="B38" s="36" t="s">
        <v>25</v>
      </c>
      <c r="J38" s="19" t="s">
        <v>26</v>
      </c>
      <c r="L38" s="37"/>
    </row>
    <row r="39" spans="2:12" ht="19" thickBot="1" x14ac:dyDescent="0.5"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9"/>
    </row>
  </sheetData>
  <mergeCells count="31">
    <mergeCell ref="I20:J20"/>
    <mergeCell ref="D23:F23"/>
    <mergeCell ref="I23:J23"/>
    <mergeCell ref="D22:F22"/>
    <mergeCell ref="I22:J22"/>
    <mergeCell ref="D21:F21"/>
    <mergeCell ref="I21:J21"/>
    <mergeCell ref="J31:K31"/>
    <mergeCell ref="D24:F24"/>
    <mergeCell ref="D25:F25"/>
    <mergeCell ref="J27:K27"/>
    <mergeCell ref="J29:K29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I18:J18"/>
    <mergeCell ref="D19:F19"/>
    <mergeCell ref="B14:D14"/>
    <mergeCell ref="K14:L14"/>
    <mergeCell ref="B15:D15"/>
    <mergeCell ref="K15:L15"/>
    <mergeCell ref="I19:J19"/>
  </mergeCells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C1CD0-2AE0-4E37-899D-E35448F568F1}">
  <sheetPr codeName="Sheet106">
    <tabColor rgb="FFFFC000"/>
    <pageSetUpPr fitToPage="1"/>
  </sheetPr>
  <dimension ref="B1:V59"/>
  <sheetViews>
    <sheetView tabSelected="1" topLeftCell="A29" zoomScaleNormal="100" workbookViewId="0">
      <selection activeCell="C39" sqref="C39:K4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23.8164062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2" width="12.54296875" style="19" customWidth="1"/>
    <col min="13" max="16384" width="12.54296875" style="19"/>
  </cols>
  <sheetData>
    <row r="1" spans="2:16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6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6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6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6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  <c r="N5" s="19" t="s">
        <v>1504</v>
      </c>
    </row>
    <row r="6" spans="2:16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  <c r="N6" s="19" t="s">
        <v>1496</v>
      </c>
    </row>
    <row r="7" spans="2:16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6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151</v>
      </c>
      <c r="J10" s="24" t="s">
        <v>27</v>
      </c>
      <c r="K10" s="464">
        <v>202501127</v>
      </c>
      <c r="L10" s="465"/>
    </row>
    <row r="11" spans="2:16" ht="20.149999999999999" customHeight="1" x14ac:dyDescent="0.45">
      <c r="B11" s="466" t="s">
        <v>1491</v>
      </c>
      <c r="C11" s="467"/>
      <c r="D11" s="468"/>
      <c r="E11" s="25"/>
      <c r="F11" s="469" t="str">
        <f>VLOOKUP(H10,'Delivery Location'!A$4:N$466,2,0)</f>
        <v>FOOD DYNASTY PTE LTD                                      101 THOMSON ROAD #B1-56                      UNITED SQUARE SINGAPORE 307591</v>
      </c>
      <c r="G11" s="470"/>
      <c r="H11" s="471"/>
      <c r="J11" s="26" t="s">
        <v>9</v>
      </c>
      <c r="K11" s="504">
        <v>45663</v>
      </c>
      <c r="L11" s="505"/>
      <c r="N11" s="532" t="s">
        <v>1075</v>
      </c>
      <c r="O11" s="532"/>
      <c r="P11" s="532"/>
    </row>
    <row r="12" spans="2:16" ht="20.149999999999999" customHeight="1" x14ac:dyDescent="0.45">
      <c r="B12" s="480" t="s">
        <v>1492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6" ht="20.149999999999999" customHeight="1" x14ac:dyDescent="0.45">
      <c r="B13" s="480" t="s">
        <v>1493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609</v>
      </c>
      <c r="L13" s="483"/>
    </row>
    <row r="14" spans="2:16" ht="20.149999999999999" customHeight="1" x14ac:dyDescent="0.45">
      <c r="B14" s="480" t="s">
        <v>1494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6" ht="18" customHeight="1" thickBot="1" x14ac:dyDescent="0.5">
      <c r="B15" s="50"/>
      <c r="C15" s="51"/>
      <c r="D15" s="52"/>
      <c r="E15" s="21"/>
      <c r="F15" s="475"/>
      <c r="G15" s="476"/>
      <c r="H15" s="477"/>
      <c r="J15" s="27" t="s">
        <v>11</v>
      </c>
      <c r="K15" s="248"/>
      <c r="L15" s="249"/>
    </row>
    <row r="16" spans="2:16" ht="19" thickBot="1" x14ac:dyDescent="0.5">
      <c r="J16" s="17"/>
      <c r="K16" s="19" t="s">
        <v>439</v>
      </c>
    </row>
    <row r="17" spans="2:22" ht="30" customHeight="1" thickBot="1" x14ac:dyDescent="0.5">
      <c r="B17" s="109" t="s">
        <v>2</v>
      </c>
      <c r="C17" s="110" t="s">
        <v>3</v>
      </c>
      <c r="D17" s="531" t="s">
        <v>4</v>
      </c>
      <c r="E17" s="531"/>
      <c r="F17" s="531"/>
      <c r="G17" s="112" t="s">
        <v>384</v>
      </c>
      <c r="H17" s="110" t="s">
        <v>29</v>
      </c>
      <c r="I17" s="531" t="s">
        <v>53</v>
      </c>
      <c r="J17" s="531"/>
      <c r="K17" s="110" t="s">
        <v>5</v>
      </c>
      <c r="L17" s="111" t="s">
        <v>6</v>
      </c>
      <c r="M17" s="28"/>
      <c r="N17" s="182" t="s">
        <v>1224</v>
      </c>
      <c r="O17" s="182" t="s">
        <v>1226</v>
      </c>
      <c r="P17" s="182" t="s">
        <v>1227</v>
      </c>
      <c r="R17" s="19">
        <v>1</v>
      </c>
      <c r="S17" s="19" t="s">
        <v>312</v>
      </c>
      <c r="T17" s="19" t="s">
        <v>55</v>
      </c>
      <c r="V17" s="19">
        <v>30</v>
      </c>
    </row>
    <row r="18" spans="2:22" ht="20.149999999999999" customHeight="1" x14ac:dyDescent="0.45">
      <c r="B18" s="185"/>
      <c r="C18" s="244" t="s">
        <v>713</v>
      </c>
      <c r="D18" s="487" t="str">
        <f>VLOOKUP(C18,'Sales Master'!B$3:D$537,2,)</f>
        <v>Chendol 浆咯</v>
      </c>
      <c r="E18" s="487"/>
      <c r="F18" s="487"/>
      <c r="G18" s="76">
        <v>1</v>
      </c>
      <c r="H18" s="183" t="str">
        <f>VLOOKUP(C18,'Sales Master'!$B$3:$F$2420,5,0)</f>
        <v>NW(2.2:0.8) 3kg/ Pkt包</v>
      </c>
      <c r="I18" s="513" t="str">
        <f>VLOOKUP(C18,'Sales Master'!$B$3:$E$2420,4,0)</f>
        <v>DO!</v>
      </c>
      <c r="J18" s="513"/>
      <c r="K18" s="83">
        <f>VLOOKUP($C18,'Sales Master'!$B$4:$AK$4031,36,0)</f>
        <v>7</v>
      </c>
      <c r="L18" s="84">
        <f t="shared" ref="L18" si="0">K18*G18</f>
        <v>7</v>
      </c>
      <c r="M18" s="65"/>
      <c r="N18" s="145">
        <f>VLOOKUP(C18,'Sales Master'!$B$3:$DA$2279,104,0)</f>
        <v>2.44</v>
      </c>
      <c r="O18" s="145">
        <f t="shared" ref="O18" si="1">K18-N18</f>
        <v>4.5600000000000005</v>
      </c>
      <c r="P18" s="145">
        <f t="shared" ref="P18" si="2">O18*G18</f>
        <v>4.5600000000000005</v>
      </c>
      <c r="R18" s="63">
        <f>N18*G18*0.07</f>
        <v>0.17080000000000001</v>
      </c>
      <c r="S18" s="63">
        <f>N18*G18*0.08</f>
        <v>0.19520000000000001</v>
      </c>
    </row>
    <row r="19" spans="2:22" ht="20" customHeight="1" x14ac:dyDescent="0.45">
      <c r="B19" s="29"/>
      <c r="C19" s="244" t="s">
        <v>712</v>
      </c>
      <c r="D19" s="487" t="str">
        <f>VLOOKUP(C19,'Sales Master'!B$3:D$537,2,)</f>
        <v>Bobo ChaCha Cubes 摩摩喳喳</v>
      </c>
      <c r="E19" s="487"/>
      <c r="F19" s="487"/>
      <c r="G19" s="76">
        <v>2</v>
      </c>
      <c r="H19" s="183" t="str">
        <f>VLOOKUP(C19,'Sales Master'!$B$3:$F$2420,5,0)</f>
        <v>800 GM/ Bag包</v>
      </c>
      <c r="I19" s="513" t="str">
        <f>VLOOKUP(C19,'Sales Master'!$B$3:$E$2420,4,0)</f>
        <v>DO!</v>
      </c>
      <c r="J19" s="513"/>
      <c r="K19" s="83">
        <f>VLOOKUP($C19,'Sales Master'!$B$4:$AK$4031,36,0)</f>
        <v>7</v>
      </c>
      <c r="L19" s="84">
        <f>K19*G19</f>
        <v>14</v>
      </c>
      <c r="M19" s="65"/>
      <c r="N19" s="145">
        <f>VLOOKUP(C19,'Sales Master'!$B$3:$DA$2279,104,0)</f>
        <v>0.89</v>
      </c>
      <c r="O19" s="145">
        <f>K19-N19</f>
        <v>6.11</v>
      </c>
      <c r="P19" s="145">
        <f>O19*G19</f>
        <v>12.22</v>
      </c>
    </row>
    <row r="20" spans="2:22" ht="20" customHeight="1" x14ac:dyDescent="0.45">
      <c r="B20" s="29"/>
      <c r="C20" s="244" t="s">
        <v>717</v>
      </c>
      <c r="D20" s="487" t="str">
        <f>VLOOKUP(C20,'Sales Master'!B$3:D$537,2,)</f>
        <v>Pong Thai Hai (Wet) 碰大海(湿)</v>
      </c>
      <c r="E20" s="487"/>
      <c r="F20" s="487"/>
      <c r="G20" s="76">
        <v>1</v>
      </c>
      <c r="H20" s="183" t="str">
        <f>VLOOKUP(C20,'Sales Master'!$B$3:$F$2420,5,0)</f>
        <v>1 KG/ Pkt包</v>
      </c>
      <c r="I20" s="513" t="str">
        <f>VLOOKUP(C20,'Sales Master'!$B$3:$E$2420,4,0)</f>
        <v>DO!</v>
      </c>
      <c r="J20" s="513"/>
      <c r="K20" s="83">
        <f>VLOOKUP($C20,'Sales Master'!$B$4:$AK$4031,36,0)</f>
        <v>12</v>
      </c>
      <c r="L20" s="84">
        <f>K20*G20</f>
        <v>12</v>
      </c>
      <c r="M20" s="65"/>
      <c r="N20" s="145">
        <f>VLOOKUP(C20,'Sales Master'!$B$3:$DA$2279,104,0)</f>
        <v>0.9</v>
      </c>
      <c r="O20" s="145">
        <f>K20-N20</f>
        <v>11.1</v>
      </c>
      <c r="P20" s="145">
        <f>O20*G20</f>
        <v>11.1</v>
      </c>
    </row>
    <row r="21" spans="2:22" ht="20" customHeight="1" x14ac:dyDescent="0.45">
      <c r="B21" s="29"/>
      <c r="C21" s="244" t="s">
        <v>1496</v>
      </c>
      <c r="D21" s="533" t="str">
        <f>VLOOKUP(C21,'Sales Master'!B$3:D$537,2,)</f>
        <v>Split Green Mung Bean (Steamed)  豆爽 (蒸)</v>
      </c>
      <c r="E21" s="533"/>
      <c r="F21" s="533"/>
      <c r="G21" s="76">
        <v>6</v>
      </c>
      <c r="H21" s="183" t="str">
        <f>VLOOKUP(C21,'Sales Master'!$B$3:$F$2420,5,0)</f>
        <v>1 KG</v>
      </c>
      <c r="I21" s="513" t="str">
        <f>VLOOKUP(C21,'Sales Master'!$B$3:$E$2420,4,0)</f>
        <v>DO!</v>
      </c>
      <c r="J21" s="513"/>
      <c r="K21" s="83">
        <f>VLOOKUP($C21,'Sales Master'!$B$4:$AK$4031,36,0)</f>
        <v>4.8</v>
      </c>
      <c r="L21" s="84">
        <f t="shared" ref="L21:L35" si="3">K21*G21</f>
        <v>28.799999999999997</v>
      </c>
      <c r="M21" s="65"/>
      <c r="N21" s="145">
        <f>VLOOKUP(C21,'Sales Master'!$B$3:$DA$2279,104,0)</f>
        <v>1.93</v>
      </c>
      <c r="O21" s="145">
        <f t="shared" ref="O21:O35" si="4">K21-N21</f>
        <v>2.87</v>
      </c>
      <c r="P21" s="145">
        <f t="shared" ref="P21:P35" si="5">O21*G21</f>
        <v>17.22</v>
      </c>
    </row>
    <row r="22" spans="2:22" ht="20" customHeight="1" x14ac:dyDescent="0.45">
      <c r="B22" s="29"/>
      <c r="C22" s="244" t="s">
        <v>805</v>
      </c>
      <c r="D22" s="487" t="str">
        <f>VLOOKUP(C22,'Sales Master'!B$3:D$537,2,)</f>
        <v>Atap Seeds in Syrup 亚嗒子</v>
      </c>
      <c r="E22" s="487"/>
      <c r="F22" s="487"/>
      <c r="G22" s="76">
        <v>1</v>
      </c>
      <c r="H22" s="183" t="str">
        <f>VLOOKUP(C22,'Sales Master'!$B$3:$F$2420,5,0)</f>
        <v>NW(1.6:0.6) 2.2kg/ Bag包</v>
      </c>
      <c r="I22" s="513" t="str">
        <f>VLOOKUP(C22,'Sales Master'!$B$3:$E$2420,4,0)</f>
        <v>DO!</v>
      </c>
      <c r="J22" s="513"/>
      <c r="K22" s="83">
        <f>VLOOKUP($C22,'Sales Master'!$B$4:$AK$4031,36,0)</f>
        <v>12</v>
      </c>
      <c r="L22" s="84">
        <f>K22*G22</f>
        <v>12</v>
      </c>
      <c r="M22" s="65"/>
      <c r="N22" s="145">
        <f>VLOOKUP(C22,'Sales Master'!$B$3:$DA$2279,104,0)</f>
        <v>7.3</v>
      </c>
      <c r="O22" s="145">
        <f>K22-N22</f>
        <v>4.7</v>
      </c>
      <c r="P22" s="145">
        <f>O22*G22</f>
        <v>4.7</v>
      </c>
    </row>
    <row r="23" spans="2:22" ht="20" customHeight="1" x14ac:dyDescent="0.45">
      <c r="B23" s="29"/>
      <c r="C23" s="244" t="s">
        <v>810</v>
      </c>
      <c r="D23" s="487" t="str">
        <f>VLOOKUP(C23,'Sales Master'!B$3:D$537,2,)</f>
        <v>GingKo Nut (Peel off) 白果仁</v>
      </c>
      <c r="E23" s="487"/>
      <c r="F23" s="487"/>
      <c r="G23" s="76">
        <v>1</v>
      </c>
      <c r="H23" s="183" t="str">
        <f>VLOOKUP(C23,'Sales Master'!$B$3:$F$2420,5,0)</f>
        <v>1 KG (500 GM X 2)</v>
      </c>
      <c r="I23" s="513" t="str">
        <f>VLOOKUP(C23,'Sales Master'!$B$3:$E$2420,4,0)</f>
        <v>-</v>
      </c>
      <c r="J23" s="513"/>
      <c r="K23" s="83">
        <f>VLOOKUP($C23,'Sales Master'!$B$4:$AK$4031,36,0)</f>
        <v>4.5</v>
      </c>
      <c r="L23" s="84">
        <f>K23*G23</f>
        <v>4.5</v>
      </c>
      <c r="M23" s="65"/>
      <c r="N23" s="145">
        <f>VLOOKUP(C23,'Sales Master'!$B$3:$DA$2279,104,0)</f>
        <v>3</v>
      </c>
      <c r="O23" s="145">
        <f>K23-N23</f>
        <v>1.5</v>
      </c>
      <c r="P23" s="145">
        <f>O23*G23</f>
        <v>1.5</v>
      </c>
    </row>
    <row r="24" spans="2:22" ht="20" customHeight="1" x14ac:dyDescent="0.45">
      <c r="B24" s="29"/>
      <c r="C24" s="244" t="s">
        <v>817</v>
      </c>
      <c r="D24" s="487" t="str">
        <f>VLOOKUP(C24,'Sales Master'!B$3:D$537,2,)</f>
        <v>Small Red Bean 小红豆</v>
      </c>
      <c r="E24" s="487"/>
      <c r="F24" s="487"/>
      <c r="G24" s="76">
        <v>1</v>
      </c>
      <c r="H24" s="183" t="str">
        <f>VLOOKUP(C24,'Sales Master'!$B$3:$F$2420,5,0)</f>
        <v>5 KG</v>
      </c>
      <c r="I24" s="513" t="str">
        <f>VLOOKUP(C24,'Sales Master'!$B$3:$E$2420,4,0)</f>
        <v>-</v>
      </c>
      <c r="J24" s="513"/>
      <c r="K24" s="83">
        <f>VLOOKUP($C24,'Sales Master'!$B$4:$AK$4031,36,0)</f>
        <v>18</v>
      </c>
      <c r="L24" s="84">
        <f t="shared" si="3"/>
        <v>18</v>
      </c>
      <c r="M24" s="65"/>
      <c r="N24" s="145">
        <f>VLOOKUP(C24,'Sales Master'!$B$3:$DA$2279,104,0)</f>
        <v>12.75</v>
      </c>
      <c r="O24" s="145">
        <f t="shared" si="4"/>
        <v>5.25</v>
      </c>
      <c r="P24" s="145">
        <f t="shared" si="5"/>
        <v>5.25</v>
      </c>
    </row>
    <row r="25" spans="2:22" ht="20" customHeight="1" x14ac:dyDescent="0.45">
      <c r="B25" s="29"/>
      <c r="C25" s="244" t="s">
        <v>825</v>
      </c>
      <c r="D25" s="487" t="str">
        <f>VLOOKUP(C25,'Sales Master'!B$3:D$537,2,)</f>
        <v>Green Bean 绿豆</v>
      </c>
      <c r="E25" s="487"/>
      <c r="F25" s="487"/>
      <c r="G25" s="76">
        <v>1</v>
      </c>
      <c r="H25" s="183" t="str">
        <f>VLOOKUP(C25,'Sales Master'!$B$3:$F$2420,5,0)</f>
        <v>5 KG</v>
      </c>
      <c r="I25" s="513" t="str">
        <f>VLOOKUP(C25,'Sales Master'!$B$3:$E$2420,4,0)</f>
        <v>-</v>
      </c>
      <c r="J25" s="513"/>
      <c r="K25" s="83">
        <f>VLOOKUP($C25,'Sales Master'!$B$4:$AK$4031,36,0)</f>
        <v>14</v>
      </c>
      <c r="L25" s="84">
        <f t="shared" si="3"/>
        <v>14</v>
      </c>
      <c r="M25" s="65"/>
      <c r="N25" s="145">
        <f>VLOOKUP(C25,'Sales Master'!$B$3:$DA$2279,104,0)</f>
        <v>8.75</v>
      </c>
      <c r="O25" s="145">
        <f t="shared" si="4"/>
        <v>5.25</v>
      </c>
      <c r="P25" s="145">
        <f t="shared" si="5"/>
        <v>5.25</v>
      </c>
    </row>
    <row r="26" spans="2:22" ht="20" customHeight="1" x14ac:dyDescent="0.45">
      <c r="B26" s="29"/>
      <c r="C26" s="212" t="s">
        <v>837</v>
      </c>
      <c r="D26" s="487" t="str">
        <f>VLOOKUP(C26,'Sales Master'!B$3:D$537,2,)</f>
        <v>Black Glutinous Rice 黑糯米</v>
      </c>
      <c r="E26" s="487"/>
      <c r="F26" s="487"/>
      <c r="G26" s="17">
        <v>1</v>
      </c>
      <c r="H26" s="183" t="str">
        <f>VLOOKUP(C26,'Sales Master'!$B$3:$F$2420,5,0)</f>
        <v>5 KGS</v>
      </c>
      <c r="I26" s="513" t="str">
        <f>VLOOKUP(C26,'Sales Master'!$B$3:$E$2420,4,0)</f>
        <v>-</v>
      </c>
      <c r="J26" s="513"/>
      <c r="K26" s="83">
        <f>VLOOKUP($C26,'Sales Master'!$B$4:$AK$4031,36,0)</f>
        <v>18</v>
      </c>
      <c r="L26" s="84">
        <f>K26*G26</f>
        <v>18</v>
      </c>
      <c r="M26" s="65"/>
      <c r="N26" s="145">
        <f>VLOOKUP(C26,'Sales Master'!$B$3:$DA$2279,104,0)</f>
        <v>12</v>
      </c>
      <c r="O26" s="145">
        <f>K26-N26</f>
        <v>6</v>
      </c>
      <c r="P26" s="145">
        <f>O26*G26</f>
        <v>6</v>
      </c>
    </row>
    <row r="27" spans="2:22" ht="20" customHeight="1" x14ac:dyDescent="0.45">
      <c r="B27" s="29"/>
      <c r="C27" s="212" t="s">
        <v>841</v>
      </c>
      <c r="D27" s="487" t="str">
        <f>VLOOKUP(C27,'Sales Master'!B$3:D$537,2,)</f>
        <v>White Glutinous Rice 白糯米</v>
      </c>
      <c r="E27" s="487"/>
      <c r="F27" s="487"/>
      <c r="G27" s="76">
        <v>1</v>
      </c>
      <c r="H27" s="183" t="str">
        <f>VLOOKUP(C27,'Sales Master'!$B$3:$F$2420,5,0)</f>
        <v>5 KG</v>
      </c>
      <c r="I27" s="513" t="str">
        <f>VLOOKUP(C27,'Sales Master'!$B$3:$E$2420,4,0)</f>
        <v>-</v>
      </c>
      <c r="J27" s="513"/>
      <c r="K27" s="83">
        <f>VLOOKUP($C27,'Sales Master'!$B$4:$AK$4031,36,0)</f>
        <v>11</v>
      </c>
      <c r="L27" s="84">
        <f>K27*G27</f>
        <v>11</v>
      </c>
      <c r="M27" s="65"/>
      <c r="N27" s="145">
        <f>VLOOKUP(C27,'Sales Master'!$B$3:$DA$2279,104,0)</f>
        <v>6</v>
      </c>
      <c r="O27" s="145">
        <f>K27-N27</f>
        <v>5</v>
      </c>
      <c r="P27" s="145">
        <f>O27*G27</f>
        <v>5</v>
      </c>
    </row>
    <row r="28" spans="2:22" ht="20.149999999999999" customHeight="1" x14ac:dyDescent="0.45">
      <c r="B28" s="213"/>
      <c r="C28" s="212" t="s">
        <v>846</v>
      </c>
      <c r="D28" s="487" t="str">
        <f>VLOOKUP(C28,'Sales Master'!B$3:D$537,2,)</f>
        <v>Pearl Barley 薏米</v>
      </c>
      <c r="E28" s="487"/>
      <c r="F28" s="487"/>
      <c r="G28" s="17">
        <v>1</v>
      </c>
      <c r="H28" s="183" t="str">
        <f>VLOOKUP(C28,'Sales Master'!$B$3:$F$2420,5,0)</f>
        <v>5 KG</v>
      </c>
      <c r="I28" s="513" t="str">
        <f>VLOOKUP(C28,'Sales Master'!$B$3:$E$2420,4,0)</f>
        <v>-</v>
      </c>
      <c r="J28" s="513"/>
      <c r="K28" s="83">
        <f>VLOOKUP($C28,'Sales Master'!$B$4:$AK$4031,36,0)</f>
        <v>10.5</v>
      </c>
      <c r="L28" s="84">
        <f>K28*G28</f>
        <v>10.5</v>
      </c>
      <c r="M28" s="65"/>
      <c r="N28" s="145">
        <f>VLOOKUP(C28,'Sales Master'!$B$3:$DA$2279,104,0)</f>
        <v>7.6</v>
      </c>
      <c r="O28" s="145">
        <f>K28-N28</f>
        <v>2.9000000000000004</v>
      </c>
      <c r="P28" s="145">
        <f>O28*G28</f>
        <v>2.9000000000000004</v>
      </c>
      <c r="R28" s="63"/>
      <c r="S28" s="63"/>
    </row>
    <row r="29" spans="2:22" ht="20" customHeight="1" x14ac:dyDescent="0.45">
      <c r="B29" s="29"/>
      <c r="C29" s="257" t="s">
        <v>859</v>
      </c>
      <c r="D29" s="487" t="str">
        <f>VLOOKUP(C29,'Sales Master'!B$3:D$537,2,)</f>
        <v>Dried Longan 龙眼干</v>
      </c>
      <c r="E29" s="487"/>
      <c r="F29" s="487"/>
      <c r="G29" s="76">
        <v>2</v>
      </c>
      <c r="H29" s="183" t="str">
        <f>VLOOKUP(C29,'Sales Master'!$B$3:$F$2420,5,0)</f>
        <v>1 kg</v>
      </c>
      <c r="I29" s="513" t="str">
        <f>VLOOKUP(C29,'Sales Master'!$B$3:$E$2420,4,0)</f>
        <v>中</v>
      </c>
      <c r="J29" s="513"/>
      <c r="K29" s="83">
        <f>VLOOKUP($C29,'Sales Master'!$B$4:$AK$4031,36,0)</f>
        <v>14</v>
      </c>
      <c r="L29" s="84">
        <f>K29*G29</f>
        <v>28</v>
      </c>
      <c r="M29" s="65"/>
      <c r="N29" s="145">
        <f>VLOOKUP(C29,'Sales Master'!$B$3:$DA$2279,104,0)</f>
        <v>9.6999999999999993</v>
      </c>
      <c r="O29" s="145">
        <f>K29-N29</f>
        <v>4.3000000000000007</v>
      </c>
      <c r="P29" s="145">
        <f>O29*G29</f>
        <v>8.6000000000000014</v>
      </c>
    </row>
    <row r="30" spans="2:22" ht="20" customHeight="1" x14ac:dyDescent="0.45">
      <c r="B30" s="29"/>
      <c r="C30" s="244" t="s">
        <v>876</v>
      </c>
      <c r="D30" s="487" t="str">
        <f>VLOOKUP(C30,'Sales Master'!B$3:D$537,2,)</f>
        <v>Bean Curd Sheet 腐竹</v>
      </c>
      <c r="E30" s="487"/>
      <c r="F30" s="487"/>
      <c r="G30" s="76">
        <v>10</v>
      </c>
      <c r="H30" s="183" t="str">
        <f>VLOOKUP(C30,'Sales Master'!$B$3:$F$2420,5,0)</f>
        <v xml:space="preserve">150g/pkt </v>
      </c>
      <c r="I30" s="513" t="str">
        <f>VLOOKUP(C30,'Sales Master'!$B$3:$E$2420,4,0)</f>
        <v>生记</v>
      </c>
      <c r="J30" s="513"/>
      <c r="K30" s="83">
        <f>VLOOKUP($C30,'Sales Master'!$B$4:$AK$4031,36,0)</f>
        <v>3</v>
      </c>
      <c r="L30" s="84">
        <f t="shared" si="3"/>
        <v>30</v>
      </c>
      <c r="M30" s="65"/>
      <c r="N30" s="145">
        <f>VLOOKUP(C30,'Sales Master'!$B$3:$DA$2279,104,0)</f>
        <v>2.5</v>
      </c>
      <c r="O30" s="145">
        <f t="shared" si="4"/>
        <v>0.5</v>
      </c>
      <c r="P30" s="145">
        <f t="shared" si="5"/>
        <v>5</v>
      </c>
    </row>
    <row r="31" spans="2:22" ht="20" customHeight="1" x14ac:dyDescent="0.45">
      <c r="B31" s="29"/>
      <c r="C31" s="212" t="s">
        <v>966</v>
      </c>
      <c r="D31" s="487" t="str">
        <f>VLOOKUP(C31,'Sales Master'!B$3:D$537,2,)</f>
        <v>Coconut Milk 椰浆</v>
      </c>
      <c r="E31" s="487"/>
      <c r="F31" s="487"/>
      <c r="G31" s="17">
        <v>1</v>
      </c>
      <c r="H31" s="183" t="str">
        <f>VLOOKUP(C31,'Sales Master'!$B$3:$F$2420,5,0)</f>
        <v>(1L x 12bag)/箱</v>
      </c>
      <c r="I31" s="513" t="str">
        <f>VLOOKUP(C31,'Sales Master'!$B$3:$E$2420,4,0)</f>
        <v>Kara UHT</v>
      </c>
      <c r="J31" s="513"/>
      <c r="K31" s="83">
        <f>VLOOKUP($C31,'Sales Master'!$B$4:$AK$4031,36,0)</f>
        <v>55</v>
      </c>
      <c r="L31" s="84">
        <f>K31*G31</f>
        <v>55</v>
      </c>
      <c r="M31" s="65"/>
      <c r="N31" s="145">
        <f>VLOOKUP(C31,'Sales Master'!$B$3:$DA$2279,104,0)</f>
        <v>35.799999999999997</v>
      </c>
      <c r="O31" s="145">
        <f>K31-N31</f>
        <v>19.200000000000003</v>
      </c>
      <c r="P31" s="145">
        <f>O31*G31</f>
        <v>19.200000000000003</v>
      </c>
    </row>
    <row r="32" spans="2:22" ht="20" customHeight="1" x14ac:dyDescent="0.45">
      <c r="B32" s="29"/>
      <c r="C32" s="212" t="s">
        <v>1253</v>
      </c>
      <c r="D32" s="487" t="str">
        <f>VLOOKUP(C32,'Sales Master'!B$3:D$537,2,)</f>
        <v>Corn Cream 玉米浆</v>
      </c>
      <c r="E32" s="487"/>
      <c r="F32" s="487"/>
      <c r="G32" s="17">
        <v>1</v>
      </c>
      <c r="H32" s="183" t="str">
        <f>VLOOKUP(C32,'Sales Master'!$B$3:$F$2420,5,0)</f>
        <v>24 CAN/ Ctn</v>
      </c>
      <c r="I32" s="513" t="str">
        <f>VLOOKUP(C32,'Sales Master'!$B$3:$E$2420,4,0)</f>
        <v>Golden Boy</v>
      </c>
      <c r="J32" s="513"/>
      <c r="K32" s="83">
        <f>VLOOKUP($C32,'Sales Master'!$B$4:$AK$4031,36,0)</f>
        <v>23</v>
      </c>
      <c r="L32" s="84">
        <f t="shared" ref="L32" si="6">K32*G32</f>
        <v>23</v>
      </c>
      <c r="M32" s="65"/>
      <c r="N32" s="145">
        <f>VLOOKUP(C32,'Sales Master'!$B$3:$DA$2279,104,0)</f>
        <v>16</v>
      </c>
      <c r="O32" s="145">
        <f t="shared" ref="O32" si="7">K32-N32</f>
        <v>7</v>
      </c>
      <c r="P32" s="145">
        <f t="shared" ref="P32" si="8">O32*G32</f>
        <v>7</v>
      </c>
    </row>
    <row r="33" spans="2:22" ht="20" customHeight="1" x14ac:dyDescent="0.45">
      <c r="B33" s="29"/>
      <c r="C33" s="244" t="s">
        <v>1004</v>
      </c>
      <c r="D33" s="487" t="str">
        <f>VLOOKUP(C33,'Sales Master'!B$3:D$537,2,)</f>
        <v>Sweet Potato 番薯</v>
      </c>
      <c r="E33" s="487"/>
      <c r="F33" s="487"/>
      <c r="G33" s="76">
        <v>5</v>
      </c>
      <c r="H33" s="183" t="str">
        <f>VLOOKUP(C33,'Sales Master'!$B$3:$F$2420,5,0)</f>
        <v>1 KG</v>
      </c>
      <c r="I33" s="513" t="str">
        <f>VLOOKUP(C33,'Sales Master'!$B$3:$E$2420,4,0)</f>
        <v>-</v>
      </c>
      <c r="J33" s="513"/>
      <c r="K33" s="83">
        <f>VLOOKUP($C33,'Sales Master'!$B$4:$AK$4031,36,0)</f>
        <v>2.7</v>
      </c>
      <c r="L33" s="84">
        <f t="shared" si="3"/>
        <v>13.5</v>
      </c>
      <c r="M33" s="65"/>
      <c r="N33" s="145">
        <f>VLOOKUP(C33,'Sales Master'!$B$3:$DA$2279,104,0)</f>
        <v>1.675</v>
      </c>
      <c r="O33" s="145">
        <f t="shared" si="4"/>
        <v>1.0250000000000001</v>
      </c>
      <c r="P33" s="145">
        <f t="shared" si="5"/>
        <v>5.1250000000000009</v>
      </c>
    </row>
    <row r="34" spans="2:22" ht="20" customHeight="1" x14ac:dyDescent="0.45">
      <c r="B34" s="29"/>
      <c r="C34" s="257" t="s">
        <v>1006</v>
      </c>
      <c r="D34" s="487" t="str">
        <f>VLOOKUP(C34,'Sales Master'!B$3:D$537,2,)</f>
        <v>Yam 芋头</v>
      </c>
      <c r="E34" s="487"/>
      <c r="F34" s="487"/>
      <c r="G34" s="76">
        <v>2.8</v>
      </c>
      <c r="H34" s="183" t="str">
        <f>VLOOKUP(C34,'Sales Master'!$B$3:$F$2420,5,0)</f>
        <v>1 KG</v>
      </c>
      <c r="I34" s="513" t="str">
        <f>VLOOKUP(C34,'Sales Master'!$B$3:$E$2420,4,0)</f>
        <v>Thailand</v>
      </c>
      <c r="J34" s="513"/>
      <c r="K34" s="83">
        <f>VLOOKUP($C34,'Sales Master'!$B$4:$AK$4031,36,0)</f>
        <v>5.5</v>
      </c>
      <c r="L34" s="84">
        <f t="shared" si="3"/>
        <v>15.399999999999999</v>
      </c>
      <c r="M34" s="65"/>
      <c r="N34" s="145">
        <f>VLOOKUP(C34,'Sales Master'!$B$3:$DA$2279,104,0)</f>
        <v>2.6</v>
      </c>
      <c r="O34" s="145">
        <f t="shared" si="4"/>
        <v>2.9</v>
      </c>
      <c r="P34" s="145">
        <f t="shared" si="5"/>
        <v>8.1199999999999992</v>
      </c>
    </row>
    <row r="35" spans="2:22" ht="20" customHeight="1" x14ac:dyDescent="0.45">
      <c r="B35" s="29"/>
      <c r="C35" s="212" t="s">
        <v>1009</v>
      </c>
      <c r="D35" s="487" t="str">
        <f>VLOOKUP(C35,'Sales Master'!B$3:D$537,2,)</f>
        <v>Pandan Leaf 班兰叶</v>
      </c>
      <c r="E35" s="487"/>
      <c r="F35" s="487"/>
      <c r="G35" s="76">
        <v>3</v>
      </c>
      <c r="H35" s="183" t="str">
        <f>VLOOKUP(C35,'Sales Master'!$B$3:$F$2420,5,0)</f>
        <v>1 KG</v>
      </c>
      <c r="I35" s="513" t="str">
        <f>VLOOKUP(C35,'Sales Master'!$B$3:$E$2420,4,0)</f>
        <v>-</v>
      </c>
      <c r="J35" s="513"/>
      <c r="K35" s="83">
        <f>VLOOKUP($C35,'Sales Master'!$B$4:$AK$4031,36,0)</f>
        <v>2.2000000000000002</v>
      </c>
      <c r="L35" s="84">
        <f t="shared" si="3"/>
        <v>6.6000000000000005</v>
      </c>
      <c r="M35" s="65"/>
      <c r="N35" s="145">
        <f>VLOOKUP(C35,'Sales Master'!$B$3:$DA$2279,104,0)</f>
        <v>1.1000000000000001</v>
      </c>
      <c r="O35" s="145">
        <f t="shared" si="4"/>
        <v>1.1000000000000001</v>
      </c>
      <c r="P35" s="145">
        <f t="shared" si="5"/>
        <v>3.3000000000000003</v>
      </c>
    </row>
    <row r="36" spans="2:22" ht="20" customHeight="1" x14ac:dyDescent="0.45">
      <c r="B36" s="29"/>
      <c r="C36" s="244" t="s">
        <v>1012</v>
      </c>
      <c r="D36" s="487" t="str">
        <f>VLOOKUP(C36,'Sales Master'!B$3:D$537,2,)</f>
        <v>Yu Tiao 油条</v>
      </c>
      <c r="E36" s="487"/>
      <c r="F36" s="487"/>
      <c r="G36" s="76">
        <v>1</v>
      </c>
      <c r="H36" s="183" t="str">
        <f>VLOOKUP(C36,'Sales Master'!$B$3:$F$2420,5,0)</f>
        <v>10 PCS/PKT</v>
      </c>
      <c r="I36" s="513" t="str">
        <f>VLOOKUP(C36,'Sales Master'!$B$3:$E$2420,4,0)</f>
        <v>-</v>
      </c>
      <c r="J36" s="513"/>
      <c r="K36" s="83">
        <f>VLOOKUP($C36,'Sales Master'!$B$4:$AK$4031,36,0)</f>
        <v>6</v>
      </c>
      <c r="L36" s="84">
        <f>K36*G36</f>
        <v>6</v>
      </c>
      <c r="M36" s="65"/>
      <c r="N36" s="145">
        <f>VLOOKUP(C36,'Sales Master'!$B$3:$DA$2279,104,0)</f>
        <v>0.45</v>
      </c>
      <c r="O36" s="145">
        <f>K36-N36</f>
        <v>5.55</v>
      </c>
      <c r="P36" s="145">
        <f>O36*G36</f>
        <v>5.55</v>
      </c>
    </row>
    <row r="37" spans="2:22" ht="20" customHeight="1" x14ac:dyDescent="0.45">
      <c r="B37" s="29"/>
      <c r="C37" s="212"/>
      <c r="G37" s="17"/>
      <c r="H37" s="183"/>
      <c r="I37" s="209"/>
      <c r="J37" s="209"/>
      <c r="K37" s="83"/>
      <c r="L37" s="84"/>
      <c r="M37" s="65"/>
      <c r="N37" s="145"/>
      <c r="O37" s="145"/>
      <c r="P37" s="145"/>
    </row>
    <row r="38" spans="2:22" ht="20" customHeight="1" x14ac:dyDescent="0.45">
      <c r="B38" s="29"/>
      <c r="C38" s="212"/>
      <c r="G38" s="17"/>
      <c r="H38" s="183"/>
      <c r="I38" s="209"/>
      <c r="J38" s="209"/>
      <c r="K38" s="83"/>
      <c r="L38" s="84"/>
      <c r="M38" s="65"/>
      <c r="N38" s="145"/>
      <c r="O38" s="145"/>
      <c r="P38" s="145"/>
    </row>
    <row r="39" spans="2:22" ht="20" customHeight="1" x14ac:dyDescent="0.45">
      <c r="B39" s="29"/>
      <c r="C39" s="149" t="s">
        <v>2296</v>
      </c>
      <c r="D39" s="403"/>
      <c r="E39" s="403"/>
      <c r="F39" s="403"/>
      <c r="G39" s="76"/>
      <c r="H39" s="186"/>
      <c r="I39" s="484"/>
      <c r="J39" s="484"/>
      <c r="K39" s="190"/>
      <c r="L39" s="84"/>
      <c r="M39" s="65"/>
      <c r="N39" s="145"/>
      <c r="O39" s="145"/>
      <c r="P39" s="145"/>
    </row>
    <row r="40" spans="2:22" ht="20" customHeight="1" x14ac:dyDescent="0.45">
      <c r="B40" s="29"/>
      <c r="C40" s="212" t="s">
        <v>849</v>
      </c>
      <c r="D40" s="446" t="str">
        <f>VLOOKUP(C40,'Sales Master'!B$3:D$537,2,)</f>
        <v>Big Sago 大丸</v>
      </c>
      <c r="E40" s="446"/>
      <c r="F40" s="446"/>
      <c r="G40" s="17">
        <v>1</v>
      </c>
      <c r="H40" s="183" t="str">
        <f>VLOOKUP(C40,'Sales Master'!$B$3:$F$2420,5,0)</f>
        <v>5 KG</v>
      </c>
      <c r="I40" s="513" t="str">
        <f>VLOOKUP(C40,'Sales Master'!$B$3:$E$2420,4,0)</f>
        <v>-</v>
      </c>
      <c r="J40" s="513"/>
      <c r="K40" s="190">
        <v>12</v>
      </c>
      <c r="L40" s="84"/>
      <c r="M40" s="65"/>
      <c r="N40" s="145"/>
      <c r="O40" s="145"/>
      <c r="P40" s="145"/>
    </row>
    <row r="41" spans="2:22" ht="20" customHeight="1" x14ac:dyDescent="0.45">
      <c r="B41" s="29"/>
      <c r="C41" s="212" t="s">
        <v>853</v>
      </c>
      <c r="D41" s="446" t="str">
        <f>VLOOKUP(C41,'Sales Master'!B$3:D$537,2,)</f>
        <v>Small Sago 小丸</v>
      </c>
      <c r="E41" s="446"/>
      <c r="F41" s="446"/>
      <c r="G41" s="76">
        <v>1</v>
      </c>
      <c r="H41" s="183" t="str">
        <f>VLOOKUP(C41,'Sales Master'!$B$3:$F$2420,5,0)</f>
        <v>5 KG</v>
      </c>
      <c r="I41" s="513" t="str">
        <f>VLOOKUP(C41,'Sales Master'!$B$3:$E$2420,4,0)</f>
        <v>-</v>
      </c>
      <c r="J41" s="513"/>
      <c r="K41" s="190">
        <v>11</v>
      </c>
      <c r="L41" s="84"/>
      <c r="M41" s="65"/>
      <c r="N41" s="145"/>
      <c r="O41" s="145"/>
      <c r="P41" s="145"/>
    </row>
    <row r="42" spans="2:22" ht="20.149999999999999" customHeight="1" thickBot="1" x14ac:dyDescent="0.5">
      <c r="B42" s="32"/>
      <c r="C42" s="33"/>
      <c r="D42" s="529"/>
      <c r="E42" s="529"/>
      <c r="F42" s="529"/>
      <c r="G42" s="113"/>
      <c r="H42" s="57" t="s">
        <v>1149</v>
      </c>
      <c r="I42" s="530"/>
      <c r="J42" s="530"/>
      <c r="K42" s="114"/>
      <c r="L42" s="115"/>
    </row>
    <row r="43" spans="2:22" ht="20.149999999999999" customHeight="1" thickBot="1" x14ac:dyDescent="0.5">
      <c r="B43" s="36"/>
      <c r="G43" s="65"/>
      <c r="L43" s="37"/>
      <c r="R43" s="19">
        <v>1</v>
      </c>
      <c r="S43" s="19" t="s">
        <v>54</v>
      </c>
      <c r="T43" s="19" t="s">
        <v>328</v>
      </c>
      <c r="V43" s="19">
        <v>6.5</v>
      </c>
    </row>
    <row r="44" spans="2:22" ht="20.149999999999999" customHeight="1" x14ac:dyDescent="0.45">
      <c r="B44" s="10" t="s">
        <v>16</v>
      </c>
      <c r="C44" s="6"/>
      <c r="D44" s="6"/>
      <c r="E44" s="6"/>
      <c r="F44" s="6"/>
      <c r="G44" s="6"/>
      <c r="H44" s="6"/>
      <c r="I44" s="6"/>
      <c r="J44" s="489" t="s">
        <v>13</v>
      </c>
      <c r="K44" s="490"/>
      <c r="L44" s="38">
        <f>SUM(L17:L42)</f>
        <v>327.3</v>
      </c>
      <c r="M44" s="63">
        <f>SUM(P18:P30)</f>
        <v>89.300000000000011</v>
      </c>
      <c r="N44" s="133">
        <f>M44/L44</f>
        <v>0.27283837457989613</v>
      </c>
      <c r="R44" s="19">
        <v>1</v>
      </c>
      <c r="S44" s="19" t="s">
        <v>54</v>
      </c>
      <c r="T44" s="19" t="s">
        <v>400</v>
      </c>
      <c r="V44" s="19">
        <v>6</v>
      </c>
    </row>
    <row r="45" spans="2:22" ht="20.149999999999999" customHeight="1" x14ac:dyDescent="0.45">
      <c r="B45" s="10" t="s">
        <v>17</v>
      </c>
      <c r="C45" s="6"/>
      <c r="D45" s="6"/>
      <c r="E45" s="6"/>
      <c r="F45" s="6"/>
      <c r="G45" s="6"/>
      <c r="H45" s="6"/>
      <c r="I45" s="6"/>
      <c r="J45" s="39" t="s">
        <v>20</v>
      </c>
      <c r="K45" s="40"/>
      <c r="L45" s="41">
        <f>L44*K45</f>
        <v>0</v>
      </c>
      <c r="R45" s="19">
        <v>1</v>
      </c>
      <c r="S45" s="19" t="s">
        <v>34</v>
      </c>
      <c r="T45" s="19" t="s">
        <v>32</v>
      </c>
      <c r="V45" s="19">
        <v>6</v>
      </c>
    </row>
    <row r="46" spans="2:22" ht="20.149999999999999" customHeight="1" x14ac:dyDescent="0.45">
      <c r="B46" s="10" t="s">
        <v>18</v>
      </c>
      <c r="C46" s="6"/>
      <c r="D46" s="6"/>
      <c r="E46" s="6"/>
      <c r="F46" s="6"/>
      <c r="G46" s="6"/>
      <c r="H46" s="6"/>
      <c r="I46" s="6"/>
      <c r="J46" s="491" t="s">
        <v>19</v>
      </c>
      <c r="K46" s="492"/>
      <c r="L46" s="41">
        <f>L44-L45</f>
        <v>327.3</v>
      </c>
      <c r="R46" s="19">
        <v>1</v>
      </c>
      <c r="S46" s="19" t="s">
        <v>378</v>
      </c>
      <c r="T46" s="19" t="s">
        <v>329</v>
      </c>
      <c r="V46" s="19">
        <v>13</v>
      </c>
    </row>
    <row r="47" spans="2:22" ht="20.149999999999999" customHeight="1" x14ac:dyDescent="0.45">
      <c r="B47" s="10" t="s">
        <v>22</v>
      </c>
      <c r="C47" s="6"/>
      <c r="D47" s="6"/>
      <c r="E47" s="6"/>
      <c r="F47" s="6"/>
      <c r="G47" s="6"/>
      <c r="H47" s="6"/>
      <c r="I47" s="6"/>
      <c r="J47" s="102" t="s">
        <v>15</v>
      </c>
      <c r="K47" s="103">
        <f>'Sales Master'!$B$1</f>
        <v>0.09</v>
      </c>
      <c r="L47" s="42">
        <f>L46*K47</f>
        <v>29.457000000000001</v>
      </c>
      <c r="R47" s="19">
        <v>1</v>
      </c>
      <c r="S47" s="19" t="s">
        <v>34</v>
      </c>
      <c r="T47" s="19" t="s">
        <v>47</v>
      </c>
      <c r="V47" s="19">
        <v>16</v>
      </c>
    </row>
    <row r="48" spans="2:22" ht="20.149999999999999" customHeight="1" thickBot="1" x14ac:dyDescent="0.5">
      <c r="B48" s="10" t="s">
        <v>676</v>
      </c>
      <c r="C48" s="6"/>
      <c r="D48" s="6"/>
      <c r="E48" s="6"/>
      <c r="F48" s="6"/>
      <c r="G48" s="6"/>
      <c r="H48" s="6"/>
      <c r="I48" s="6"/>
      <c r="J48" s="485" t="s">
        <v>21</v>
      </c>
      <c r="K48" s="486"/>
      <c r="L48" s="43">
        <f>L46+L47</f>
        <v>356.75700000000001</v>
      </c>
      <c r="R48" s="19">
        <v>4</v>
      </c>
      <c r="S48" s="19" t="s">
        <v>34</v>
      </c>
      <c r="T48" s="19" t="s">
        <v>47</v>
      </c>
      <c r="V48" s="19">
        <v>13</v>
      </c>
    </row>
    <row r="49" spans="2:22" ht="20.149999999999999" customHeight="1" x14ac:dyDescent="0.45">
      <c r="B49" s="10" t="s">
        <v>24</v>
      </c>
      <c r="C49" s="6"/>
      <c r="D49" s="6"/>
      <c r="E49" s="6"/>
      <c r="F49" s="6"/>
      <c r="G49" s="6"/>
      <c r="H49" s="6"/>
      <c r="I49" s="6"/>
      <c r="L49" s="37"/>
      <c r="R49" s="19">
        <v>4</v>
      </c>
      <c r="S49" s="19" t="s">
        <v>34</v>
      </c>
      <c r="T49" s="19" t="s">
        <v>47</v>
      </c>
      <c r="V49" s="19">
        <v>13</v>
      </c>
    </row>
    <row r="50" spans="2:22" ht="20.149999999999999" customHeight="1" x14ac:dyDescent="0.45">
      <c r="B50" s="144" t="s">
        <v>666</v>
      </c>
      <c r="L50" s="37"/>
      <c r="R50" s="19">
        <v>1</v>
      </c>
      <c r="S50" s="19" t="s">
        <v>397</v>
      </c>
      <c r="T50" s="19" t="s">
        <v>419</v>
      </c>
      <c r="V50" s="19">
        <v>2.8</v>
      </c>
    </row>
    <row r="51" spans="2:22" ht="20.149999999999999" customHeight="1" x14ac:dyDescent="0.45">
      <c r="B51" s="144"/>
      <c r="L51" s="37"/>
    </row>
    <row r="52" spans="2:22" ht="20.149999999999999" customHeight="1" x14ac:dyDescent="0.45">
      <c r="B52" s="144"/>
      <c r="L52" s="37"/>
    </row>
    <row r="53" spans="2:22" ht="20.149999999999999" customHeight="1" x14ac:dyDescent="0.45">
      <c r="B53" s="36"/>
      <c r="L53" s="37"/>
    </row>
    <row r="54" spans="2:22" ht="20.149999999999999" customHeight="1" x14ac:dyDescent="0.45">
      <c r="B54" s="44"/>
      <c r="C54" s="45"/>
      <c r="D54" s="45"/>
      <c r="J54" s="45"/>
      <c r="K54" s="45"/>
      <c r="L54" s="46"/>
      <c r="R54" s="19">
        <v>20</v>
      </c>
      <c r="S54" s="19" t="s">
        <v>34</v>
      </c>
      <c r="T54" s="19" t="s">
        <v>62</v>
      </c>
      <c r="V54" s="19">
        <v>1.6</v>
      </c>
    </row>
    <row r="55" spans="2:22" ht="20.149999999999999" customHeight="1" x14ac:dyDescent="0.45">
      <c r="B55" s="36" t="s">
        <v>25</v>
      </c>
      <c r="J55" s="19" t="s">
        <v>26</v>
      </c>
      <c r="L55" s="37"/>
      <c r="R55" s="19">
        <v>2</v>
      </c>
      <c r="S55" s="19" t="s">
        <v>34</v>
      </c>
      <c r="T55" s="19" t="s">
        <v>32</v>
      </c>
      <c r="V55" s="19">
        <v>2.5</v>
      </c>
    </row>
    <row r="56" spans="2:22" ht="19" thickBot="1" x14ac:dyDescent="0.5">
      <c r="B56" s="47"/>
      <c r="C56" s="48"/>
      <c r="D56" s="48"/>
      <c r="E56" s="48"/>
      <c r="F56" s="48"/>
      <c r="G56" s="48"/>
      <c r="H56" s="48"/>
      <c r="I56" s="48"/>
      <c r="J56" s="48"/>
      <c r="K56" s="48"/>
      <c r="L56" s="49"/>
      <c r="R56" s="19">
        <v>3</v>
      </c>
      <c r="S56" s="19" t="s">
        <v>34</v>
      </c>
      <c r="T56" s="19" t="s">
        <v>62</v>
      </c>
      <c r="V56" s="19">
        <v>4</v>
      </c>
    </row>
    <row r="57" spans="2:22" ht="20.5" x14ac:dyDescent="0.45">
      <c r="F57" s="202"/>
      <c r="R57" s="19">
        <v>2</v>
      </c>
      <c r="S57" s="19" t="s">
        <v>51</v>
      </c>
      <c r="T57" s="19" t="s">
        <v>94</v>
      </c>
      <c r="V57" s="19">
        <v>20</v>
      </c>
    </row>
    <row r="58" spans="2:22" x14ac:dyDescent="0.45">
      <c r="R58" s="19">
        <v>1</v>
      </c>
      <c r="S58" s="19" t="s">
        <v>312</v>
      </c>
      <c r="T58" s="19" t="s">
        <v>55</v>
      </c>
      <c r="V58" s="19">
        <v>30</v>
      </c>
    </row>
    <row r="59" spans="2:22" x14ac:dyDescent="0.45">
      <c r="R59" s="19">
        <v>1</v>
      </c>
      <c r="S59" s="19" t="s">
        <v>381</v>
      </c>
      <c r="T59" s="19" t="s">
        <v>375</v>
      </c>
      <c r="V59" s="19">
        <v>36</v>
      </c>
    </row>
  </sheetData>
  <mergeCells count="62">
    <mergeCell ref="I28:J28"/>
    <mergeCell ref="D22:F22"/>
    <mergeCell ref="D20:F20"/>
    <mergeCell ref="D23:F23"/>
    <mergeCell ref="D19:F19"/>
    <mergeCell ref="D27:F27"/>
    <mergeCell ref="D26:F26"/>
    <mergeCell ref="D28:F28"/>
    <mergeCell ref="D21:F21"/>
    <mergeCell ref="D24:F24"/>
    <mergeCell ref="D25:F25"/>
    <mergeCell ref="N11:P11"/>
    <mergeCell ref="I18:J18"/>
    <mergeCell ref="I22:J22"/>
    <mergeCell ref="I27:J27"/>
    <mergeCell ref="I26:J26"/>
    <mergeCell ref="I23:J23"/>
    <mergeCell ref="I24:J24"/>
    <mergeCell ref="I25:J25"/>
    <mergeCell ref="I20:J20"/>
    <mergeCell ref="I21:J21"/>
    <mergeCell ref="I19:J19"/>
    <mergeCell ref="D17:F17"/>
    <mergeCell ref="I17:J17"/>
    <mergeCell ref="D18:F18"/>
    <mergeCell ref="B1:L8"/>
    <mergeCell ref="K10:L10"/>
    <mergeCell ref="B11:D11"/>
    <mergeCell ref="F11:H15"/>
    <mergeCell ref="K11:L11"/>
    <mergeCell ref="B14:D14"/>
    <mergeCell ref="K14:L14"/>
    <mergeCell ref="B12:D12"/>
    <mergeCell ref="K12:L12"/>
    <mergeCell ref="B13:D13"/>
    <mergeCell ref="K13:L13"/>
    <mergeCell ref="J48:K48"/>
    <mergeCell ref="J44:K44"/>
    <mergeCell ref="J46:K46"/>
    <mergeCell ref="I29:J29"/>
    <mergeCell ref="I36:J36"/>
    <mergeCell ref="I39:J39"/>
    <mergeCell ref="I40:J40"/>
    <mergeCell ref="I30:J30"/>
    <mergeCell ref="I33:J33"/>
    <mergeCell ref="I32:J32"/>
    <mergeCell ref="I31:J31"/>
    <mergeCell ref="I41:J41"/>
    <mergeCell ref="D42:F42"/>
    <mergeCell ref="I42:J42"/>
    <mergeCell ref="I35:J35"/>
    <mergeCell ref="D29:F29"/>
    <mergeCell ref="D34:F34"/>
    <mergeCell ref="D35:F35"/>
    <mergeCell ref="I34:J34"/>
    <mergeCell ref="D32:F32"/>
    <mergeCell ref="D31:F31"/>
    <mergeCell ref="D36:F36"/>
    <mergeCell ref="D30:F30"/>
    <mergeCell ref="D33:F33"/>
    <mergeCell ref="D40:F40"/>
    <mergeCell ref="D41:F41"/>
  </mergeCells>
  <conditionalFormatting sqref="C33 C30 C36 C19:C25">
    <cfRule type="duplicateValues" dxfId="241" priority="2747"/>
  </conditionalFormatting>
  <conditionalFormatting sqref="C34 C29 C18">
    <cfRule type="duplicateValues" dxfId="240" priority="2612"/>
  </conditionalFormatting>
  <conditionalFormatting sqref="C35 C27">
    <cfRule type="duplicateValues" dxfId="239" priority="2722"/>
  </conditionalFormatting>
  <conditionalFormatting sqref="C39">
    <cfRule type="duplicateValues" dxfId="238" priority="1"/>
  </conditionalFormatting>
  <conditionalFormatting sqref="C42">
    <cfRule type="duplicateValues" dxfId="237" priority="10"/>
    <cfRule type="duplicateValues" dxfId="236" priority="11"/>
  </conditionalFormatting>
  <conditionalFormatting sqref="N11">
    <cfRule type="duplicateValues" dxfId="235" priority="9"/>
  </conditionalFormatting>
  <pageMargins left="0.511811023622047" right="0.23622047244094499" top="0" bottom="0.23622047244094499" header="0.31496062992126" footer="0.31496062992126"/>
  <pageSetup paperSize="9" scale="73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3DC11-437D-42AD-966A-CC3F7530B5B2}">
  <sheetPr codeName="Sheet161">
    <tabColor rgb="FFFFC000"/>
    <pageSetUpPr fitToPage="1"/>
  </sheetPr>
  <dimension ref="B1:Q56"/>
  <sheetViews>
    <sheetView topLeftCell="A16" zoomScaleNormal="100" workbookViewId="0">
      <selection activeCell="I21" sqref="I21:J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2" x14ac:dyDescent="0.45"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</row>
    <row r="2" spans="2:12" x14ac:dyDescent="0.45"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</row>
    <row r="3" spans="2:12" x14ac:dyDescent="0.45">
      <c r="B3" s="538"/>
      <c r="C3" s="538"/>
      <c r="D3" s="538"/>
      <c r="E3" s="538"/>
      <c r="F3" s="538"/>
      <c r="G3" s="538"/>
      <c r="H3" s="538"/>
      <c r="I3" s="538"/>
      <c r="J3" s="538"/>
      <c r="K3" s="538"/>
      <c r="L3" s="538"/>
    </row>
    <row r="4" spans="2:12" x14ac:dyDescent="0.45"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538"/>
    </row>
    <row r="5" spans="2:12" x14ac:dyDescent="0.45">
      <c r="B5" s="538"/>
      <c r="C5" s="538"/>
      <c r="D5" s="538"/>
      <c r="E5" s="538"/>
      <c r="F5" s="538"/>
      <c r="G5" s="538"/>
      <c r="H5" s="538"/>
      <c r="I5" s="538"/>
      <c r="J5" s="538"/>
      <c r="K5" s="538"/>
      <c r="L5" s="538"/>
    </row>
    <row r="6" spans="2:12" x14ac:dyDescent="0.45"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538"/>
    </row>
    <row r="7" spans="2:12" x14ac:dyDescent="0.45"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</row>
    <row r="8" spans="2:12" ht="19" thickBot="1" x14ac:dyDescent="0.5">
      <c r="B8" s="534"/>
      <c r="C8" s="534"/>
      <c r="D8" s="534"/>
      <c r="E8" s="534"/>
      <c r="F8" s="534"/>
      <c r="G8" s="534"/>
      <c r="H8" s="534"/>
      <c r="I8" s="534"/>
      <c r="J8" s="534"/>
      <c r="K8" s="534"/>
      <c r="L8" s="534"/>
    </row>
    <row r="9" spans="2:12" ht="19" thickBot="1" x14ac:dyDescent="0.5">
      <c r="B9" s="367"/>
      <c r="C9" s="365"/>
      <c r="D9" s="365"/>
      <c r="E9" s="365"/>
      <c r="F9" s="365"/>
      <c r="G9" s="365"/>
      <c r="H9" s="365"/>
      <c r="I9" s="365"/>
      <c r="J9" s="365"/>
      <c r="K9" s="365"/>
      <c r="L9" s="365"/>
    </row>
    <row r="10" spans="2:12" ht="18" customHeight="1" thickTop="1" thickBot="1" x14ac:dyDescent="0.5">
      <c r="B10" s="368" t="s">
        <v>7</v>
      </c>
      <c r="C10" s="368"/>
      <c r="D10" s="368"/>
      <c r="E10" s="368"/>
      <c r="F10" s="369" t="s">
        <v>8</v>
      </c>
      <c r="G10" s="23"/>
      <c r="H10" s="23" t="s">
        <v>152</v>
      </c>
      <c r="I10" s="365"/>
      <c r="J10" s="24" t="s">
        <v>27</v>
      </c>
      <c r="K10" s="464">
        <v>202504212</v>
      </c>
      <c r="L10" s="465"/>
    </row>
    <row r="11" spans="2:12" ht="20.149999999999999" customHeight="1" x14ac:dyDescent="0.45">
      <c r="B11" s="469" t="s">
        <v>1154</v>
      </c>
      <c r="C11" s="470"/>
      <c r="D11" s="471"/>
      <c r="E11" s="370"/>
      <c r="F11" s="469" t="str">
        <f>VLOOKUP(H10,'Delivery Location'!A$4:N$466,2,0)</f>
        <v xml:space="preserve">Koufu - Dessert                                             9, Tampines Street 32,   Tampines Mart. Singapore 529287.             </v>
      </c>
      <c r="G11" s="470"/>
      <c r="H11" s="471"/>
      <c r="I11" s="365"/>
      <c r="J11" s="26" t="s">
        <v>9</v>
      </c>
      <c r="K11" s="478">
        <v>45755</v>
      </c>
      <c r="L11" s="479"/>
    </row>
    <row r="12" spans="2:12" ht="20.149999999999999" customHeight="1" x14ac:dyDescent="0.45">
      <c r="B12" s="472" t="s">
        <v>1225</v>
      </c>
      <c r="C12" s="473"/>
      <c r="D12" s="474"/>
      <c r="E12" s="370"/>
      <c r="F12" s="472"/>
      <c r="G12" s="473"/>
      <c r="H12" s="474"/>
      <c r="I12" s="365"/>
      <c r="J12" s="26" t="s">
        <v>127</v>
      </c>
      <c r="K12" s="482" t="s">
        <v>34</v>
      </c>
      <c r="L12" s="483"/>
    </row>
    <row r="13" spans="2:12" ht="20.149999999999999" customHeight="1" x14ac:dyDescent="0.45">
      <c r="B13" s="472" t="s">
        <v>1146</v>
      </c>
      <c r="C13" s="473"/>
      <c r="D13" s="474"/>
      <c r="E13" s="370"/>
      <c r="F13" s="472"/>
      <c r="G13" s="473"/>
      <c r="H13" s="474"/>
      <c r="I13" s="365"/>
      <c r="J13" s="26" t="s">
        <v>10</v>
      </c>
      <c r="K13" s="482" t="s">
        <v>12</v>
      </c>
      <c r="L13" s="483"/>
    </row>
    <row r="14" spans="2:12" ht="20.149999999999999" customHeight="1" x14ac:dyDescent="0.45">
      <c r="B14" s="472" t="s">
        <v>1147</v>
      </c>
      <c r="C14" s="473"/>
      <c r="D14" s="474"/>
      <c r="E14" s="370"/>
      <c r="F14" s="472"/>
      <c r="G14" s="473"/>
      <c r="H14" s="474"/>
      <c r="I14" s="365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368"/>
      <c r="F15" s="475"/>
      <c r="G15" s="476"/>
      <c r="H15" s="477"/>
      <c r="I15" s="365"/>
      <c r="J15" s="27" t="s">
        <v>11</v>
      </c>
      <c r="K15" s="495"/>
      <c r="L15" s="496"/>
    </row>
    <row r="16" spans="2:12" ht="19" thickBot="1" x14ac:dyDescent="0.5">
      <c r="B16" s="365"/>
      <c r="C16" s="365"/>
      <c r="D16" s="365"/>
      <c r="E16" s="365"/>
      <c r="F16" s="365"/>
      <c r="G16" s="365"/>
      <c r="H16" s="365"/>
      <c r="I16" s="365"/>
      <c r="J16" s="365"/>
      <c r="K16" s="365"/>
      <c r="L16" s="365"/>
    </row>
    <row r="17" spans="2:17" ht="30" customHeight="1" thickBot="1" x14ac:dyDescent="0.5">
      <c r="B17" s="371" t="s">
        <v>2</v>
      </c>
      <c r="C17" s="372" t="s">
        <v>3</v>
      </c>
      <c r="D17" s="535" t="s">
        <v>4</v>
      </c>
      <c r="E17" s="537"/>
      <c r="F17" s="536"/>
      <c r="G17" s="373" t="s">
        <v>384</v>
      </c>
      <c r="H17" s="372" t="s">
        <v>29</v>
      </c>
      <c r="I17" s="535" t="s">
        <v>53</v>
      </c>
      <c r="J17" s="536"/>
      <c r="K17" s="372" t="s">
        <v>5</v>
      </c>
      <c r="L17" s="374" t="s">
        <v>6</v>
      </c>
      <c r="M17" s="28"/>
    </row>
    <row r="18" spans="2:17" ht="20.149999999999999" customHeight="1" x14ac:dyDescent="0.45">
      <c r="B18" s="375"/>
      <c r="C18" s="212" t="s">
        <v>713</v>
      </c>
      <c r="D18" s="487" t="str">
        <f>VLOOKUP(C18,'Sales Master'!B$3:D$537,2,)</f>
        <v>Chendol 浆咯</v>
      </c>
      <c r="E18" s="487"/>
      <c r="F18" s="487"/>
      <c r="G18" s="76">
        <v>1</v>
      </c>
      <c r="H18" s="186" t="str">
        <f>VLOOKUP(C18,'Sales Master'!$B$3:$F$2420,5,0)</f>
        <v>NW(2.2:0.8) 3kg/ Pkt包</v>
      </c>
      <c r="I18" s="484" t="str">
        <f>VLOOKUP(C18,'Sales Master'!$B$3:$E$2420,4,0)</f>
        <v>DO!</v>
      </c>
      <c r="J18" s="484"/>
      <c r="K18" s="377">
        <f>VLOOKUP(C18,'Sales Master'!$B$3:$AZ$537,51,0)</f>
        <v>6.5</v>
      </c>
      <c r="L18" s="378">
        <f t="shared" ref="L18" si="0">K18*G18</f>
        <v>6.5</v>
      </c>
    </row>
    <row r="19" spans="2:17" ht="20.149999999999999" customHeight="1" x14ac:dyDescent="0.45">
      <c r="B19" s="375"/>
      <c r="C19" s="212" t="s">
        <v>698</v>
      </c>
      <c r="D19" s="487" t="str">
        <f>VLOOKUP(C19,'Sales Master'!B$3:D$537,2,)</f>
        <v xml:space="preserve">Fresh Soursop 红毛榴莲 </v>
      </c>
      <c r="E19" s="487"/>
      <c r="F19" s="487"/>
      <c r="G19" s="76">
        <v>1</v>
      </c>
      <c r="H19" s="186" t="str">
        <f>VLOOKUP(C19,'Sales Master'!$B$3:$F$2420,5,0)</f>
        <v>GW:5 KG/ Tub桶</v>
      </c>
      <c r="I19" s="484" t="str">
        <f>VLOOKUP(C19,'Sales Master'!$B$3:$E$2420,4,0)</f>
        <v>DO!</v>
      </c>
      <c r="J19" s="484"/>
      <c r="K19" s="377">
        <f>VLOOKUP(C19,'Sales Master'!$B$3:$AZ$537,51,0)</f>
        <v>31</v>
      </c>
      <c r="L19" s="378">
        <f t="shared" ref="L19:L24" si="1">K19*G19</f>
        <v>31</v>
      </c>
      <c r="N19" s="145"/>
      <c r="O19" s="145"/>
      <c r="P19" s="145"/>
    </row>
    <row r="20" spans="2:17" ht="20.149999999999999" customHeight="1" x14ac:dyDescent="0.45">
      <c r="B20" s="375"/>
      <c r="C20" s="212" t="s">
        <v>702</v>
      </c>
      <c r="D20" s="487" t="str">
        <f>VLOOKUP(C20,'Sales Master'!B$3:D$537,2,)</f>
        <v>Durian Puree 榴莲酱</v>
      </c>
      <c r="E20" s="487"/>
      <c r="F20" s="487"/>
      <c r="G20" s="76">
        <v>1</v>
      </c>
      <c r="H20" s="186" t="str">
        <f>VLOOKUP(C20,'Sales Master'!$B$3:$F$2420,5,0)</f>
        <v>1 KG/ Box盒</v>
      </c>
      <c r="I20" s="484" t="str">
        <f>VLOOKUP(C20,'Sales Master'!$B$3:$E$2420,4,0)</f>
        <v>DO!</v>
      </c>
      <c r="J20" s="484"/>
      <c r="K20" s="377">
        <f>VLOOKUP(C20,'Sales Master'!$B$3:$AZ$537,51,0)</f>
        <v>7</v>
      </c>
      <c r="L20" s="378">
        <f t="shared" si="1"/>
        <v>7</v>
      </c>
      <c r="N20" s="145"/>
      <c r="O20" s="145"/>
      <c r="P20" s="145"/>
    </row>
    <row r="21" spans="2:17" ht="20.149999999999999" customHeight="1" x14ac:dyDescent="0.45">
      <c r="B21" s="375"/>
      <c r="C21" s="212" t="s">
        <v>703</v>
      </c>
      <c r="D21" s="487" t="str">
        <f>VLOOKUP(C21,'Sales Master'!B$3:D$537,2,)</f>
        <v>Mango Puree 芒果酱</v>
      </c>
      <c r="E21" s="487"/>
      <c r="F21" s="487"/>
      <c r="G21" s="76">
        <v>1</v>
      </c>
      <c r="H21" s="186" t="str">
        <f>VLOOKUP(C21,'Sales Master'!$B$3:$F$2420,5,0)</f>
        <v>1 KG/ Box盒</v>
      </c>
      <c r="I21" s="484" t="str">
        <f>VLOOKUP(C21,'Sales Master'!$B$3:$E$2420,4,0)</f>
        <v>DO!</v>
      </c>
      <c r="J21" s="484"/>
      <c r="K21" s="377">
        <f>VLOOKUP(C21,'Sales Master'!$B$3:$AZ$537,51,0)</f>
        <v>7</v>
      </c>
      <c r="L21" s="378">
        <f t="shared" si="1"/>
        <v>7</v>
      </c>
      <c r="N21" s="145"/>
      <c r="O21" s="145"/>
      <c r="P21" s="145"/>
    </row>
    <row r="22" spans="2:17" ht="20.149999999999999" customHeight="1" x14ac:dyDescent="0.45">
      <c r="B22" s="375"/>
      <c r="C22" s="212" t="s">
        <v>712</v>
      </c>
      <c r="D22" s="498" t="str">
        <f>VLOOKUP(C22,'Sales Master'!B$3:D$537,2,)</f>
        <v>Bobo ChaCha Cubes 摩摩喳喳</v>
      </c>
      <c r="E22" s="498"/>
      <c r="F22" s="498"/>
      <c r="G22" s="76">
        <v>3</v>
      </c>
      <c r="H22" s="186" t="str">
        <f>VLOOKUP(C22,'Sales Master'!$B$3:$F$2420,5,0)</f>
        <v>800 GM/ Bag包</v>
      </c>
      <c r="I22" s="484" t="str">
        <f>VLOOKUP(C22,'Sales Master'!$B$3:$E$2420,4,0)</f>
        <v>DO!</v>
      </c>
      <c r="J22" s="484"/>
      <c r="K22" s="377">
        <f>VLOOKUP(C22,'Sales Master'!$B$3:$AZ$537,51,0)</f>
        <v>6</v>
      </c>
      <c r="L22" s="378">
        <f t="shared" si="1"/>
        <v>18</v>
      </c>
      <c r="N22" s="145"/>
      <c r="O22" s="145"/>
      <c r="P22" s="145"/>
      <c r="Q22" s="170"/>
    </row>
    <row r="23" spans="2:17" ht="20.149999999999999" customHeight="1" x14ac:dyDescent="0.45">
      <c r="B23" s="375"/>
      <c r="C23" s="212" t="s">
        <v>805</v>
      </c>
      <c r="D23" s="487" t="str">
        <f>VLOOKUP(C23,'Sales Master'!B$3:D$537,2,)</f>
        <v>Atap Seeds in Syrup 亚嗒子</v>
      </c>
      <c r="E23" s="487"/>
      <c r="F23" s="487"/>
      <c r="G23" s="76">
        <v>2</v>
      </c>
      <c r="H23" s="186" t="str">
        <f>VLOOKUP(C23,'Sales Master'!$B$3:$F$2420,5,0)</f>
        <v>NW(1.6:0.6) 2.2kg/ Bag包</v>
      </c>
      <c r="I23" s="484" t="str">
        <f>VLOOKUP(C23,'Sales Master'!$B$3:$E$2420,4,0)</f>
        <v>DO!</v>
      </c>
      <c r="J23" s="484"/>
      <c r="K23" s="377">
        <f>VLOOKUP(C23,'Sales Master'!$B$3:$AZ$537,51,0)</f>
        <v>9.5</v>
      </c>
      <c r="L23" s="378">
        <f t="shared" si="1"/>
        <v>19</v>
      </c>
    </row>
    <row r="24" spans="2:17" ht="20.149999999999999" customHeight="1" x14ac:dyDescent="0.45">
      <c r="B24" s="375"/>
      <c r="C24" s="212" t="s">
        <v>807</v>
      </c>
      <c r="D24" s="487" t="str">
        <f>VLOOKUP(C24,'Sales Master'!B$3:D$537,2,)</f>
        <v>Chin Chow  仙草</v>
      </c>
      <c r="E24" s="487"/>
      <c r="F24" s="487"/>
      <c r="G24" s="76">
        <v>3</v>
      </c>
      <c r="H24" s="186" t="str">
        <f>VLOOKUP(C24,'Sales Master'!$B$3:$F$2420,5,0)</f>
        <v>4 KG/ Pkt包</v>
      </c>
      <c r="I24" s="484" t="str">
        <f>VLOOKUP(C24,'Sales Master'!$B$3:$E$2420,4,0)</f>
        <v>TSM</v>
      </c>
      <c r="J24" s="484"/>
      <c r="K24" s="377">
        <f>VLOOKUP(C24,'Sales Master'!$B$3:$AZ$537,51,0)</f>
        <v>6</v>
      </c>
      <c r="L24" s="378">
        <f t="shared" si="1"/>
        <v>18</v>
      </c>
      <c r="N24" s="145"/>
      <c r="O24" s="145"/>
      <c r="P24" s="145"/>
    </row>
    <row r="25" spans="2:17" ht="20.149999999999999" customHeight="1" x14ac:dyDescent="0.45">
      <c r="B25" s="375"/>
      <c r="C25" s="212" t="s">
        <v>817</v>
      </c>
      <c r="D25" s="487" t="str">
        <f>VLOOKUP(C25,'Sales Master'!B$3:D$537,2,)</f>
        <v>Small Red Bean 小红豆</v>
      </c>
      <c r="E25" s="487"/>
      <c r="F25" s="487"/>
      <c r="G25" s="76">
        <v>3</v>
      </c>
      <c r="H25" s="186" t="str">
        <f>VLOOKUP(C25,'Sales Master'!$B$3:$F$2420,5,0)</f>
        <v>5 KG</v>
      </c>
      <c r="I25" s="484" t="str">
        <f>VLOOKUP(C25,'Sales Master'!$B$3:$E$2420,4,0)</f>
        <v>-</v>
      </c>
      <c r="J25" s="484"/>
      <c r="K25" s="377">
        <f>VLOOKUP(C25,'Sales Master'!$B$3:$AZ$537,51,0)</f>
        <v>17.5</v>
      </c>
      <c r="L25" s="378">
        <f t="shared" ref="L25" si="2">K25*G25</f>
        <v>52.5</v>
      </c>
      <c r="N25" s="145"/>
      <c r="O25" s="145"/>
      <c r="P25" s="145"/>
    </row>
    <row r="26" spans="2:17" ht="20.149999999999999" customHeight="1" x14ac:dyDescent="0.45">
      <c r="B26" s="375"/>
      <c r="C26" s="212" t="s">
        <v>825</v>
      </c>
      <c r="D26" s="487" t="str">
        <f>VLOOKUP(C26,'Sales Master'!B$3:D$537,2,)</f>
        <v>Green Bean 绿豆</v>
      </c>
      <c r="E26" s="487"/>
      <c r="F26" s="487"/>
      <c r="G26" s="76">
        <v>2</v>
      </c>
      <c r="H26" s="186" t="str">
        <f>VLOOKUP(C26,'Sales Master'!$B$3:$F$2420,5,0)</f>
        <v>5 KG</v>
      </c>
      <c r="I26" s="484" t="str">
        <f>VLOOKUP(C26,'Sales Master'!$B$3:$E$2420,4,0)</f>
        <v>-</v>
      </c>
      <c r="J26" s="484"/>
      <c r="K26" s="377">
        <f>VLOOKUP(C26,'Sales Master'!$B$3:$AZ$537,51,0)</f>
        <v>13</v>
      </c>
      <c r="L26" s="378">
        <f>K26*G26</f>
        <v>26</v>
      </c>
    </row>
    <row r="27" spans="2:17" ht="20.149999999999999" customHeight="1" x14ac:dyDescent="0.45">
      <c r="B27" s="375"/>
      <c r="C27" s="212" t="s">
        <v>844</v>
      </c>
      <c r="D27" s="487" t="str">
        <f>VLOOKUP(C27,'Sales Master'!B$3:D$537,2,)</f>
        <v>White Wheat 大麦</v>
      </c>
      <c r="E27" s="487"/>
      <c r="F27" s="487"/>
      <c r="G27" s="76">
        <v>1</v>
      </c>
      <c r="H27" s="186" t="str">
        <f>VLOOKUP(C27,'Sales Master'!$B$3:$F$2420,5,0)</f>
        <v>10 PKT/ Bag</v>
      </c>
      <c r="I27" s="484" t="str">
        <f>VLOOKUP(C27,'Sales Master'!$B$3:$E$2420,4,0)</f>
        <v>-</v>
      </c>
      <c r="J27" s="484"/>
      <c r="K27" s="377">
        <f>VLOOKUP(C27,'Sales Master'!$B$3:$AZ$537,51,0)</f>
        <v>9.5</v>
      </c>
      <c r="L27" s="378">
        <f>K27*G27</f>
        <v>9.5</v>
      </c>
      <c r="N27" s="145"/>
      <c r="O27" s="145"/>
      <c r="P27" s="145"/>
    </row>
    <row r="28" spans="2:17" ht="20.149999999999999" customHeight="1" x14ac:dyDescent="0.45">
      <c r="B28" s="375"/>
      <c r="C28" s="212" t="s">
        <v>859</v>
      </c>
      <c r="D28" s="487" t="str">
        <f>VLOOKUP(C28,'Sales Master'!B$3:D$537,2,)</f>
        <v>Dried Longan 龙眼干</v>
      </c>
      <c r="E28" s="487"/>
      <c r="F28" s="487"/>
      <c r="G28" s="76">
        <v>4</v>
      </c>
      <c r="H28" s="186" t="str">
        <f>VLOOKUP(C28,'Sales Master'!$B$3:$F$2420,5,0)</f>
        <v>1 kg</v>
      </c>
      <c r="I28" s="484" t="str">
        <f>VLOOKUP(C28,'Sales Master'!$B$3:$E$2420,4,0)</f>
        <v>中</v>
      </c>
      <c r="J28" s="484"/>
      <c r="K28" s="377">
        <f>VLOOKUP(C28,'Sales Master'!$B$3:$AZ$537,51,0)</f>
        <v>12</v>
      </c>
      <c r="L28" s="378">
        <f>K28*G28</f>
        <v>48</v>
      </c>
      <c r="N28" s="145"/>
      <c r="O28" s="145"/>
      <c r="P28" s="145"/>
    </row>
    <row r="29" spans="2:17" ht="20.5" customHeight="1" x14ac:dyDescent="0.45">
      <c r="B29" s="375"/>
      <c r="C29" s="212" t="s">
        <v>862</v>
      </c>
      <c r="D29" s="487" t="str">
        <f>VLOOKUP(C29,'Sales Master'!B$3:D$537,2,)</f>
        <v>Fungus黄 木耳朵</v>
      </c>
      <c r="E29" s="487"/>
      <c r="F29" s="487"/>
      <c r="G29" s="76">
        <v>1</v>
      </c>
      <c r="H29" s="186" t="str">
        <f>VLOOKUP(C29,'Sales Master'!$B$3:$F$2420,5,0)</f>
        <v>1 kg</v>
      </c>
      <c r="I29" s="484" t="str">
        <f>VLOOKUP(C29,'Sales Master'!$B$3:$E$2420,4,0)</f>
        <v>黄</v>
      </c>
      <c r="J29" s="484"/>
      <c r="K29" s="377">
        <f>VLOOKUP(C29,'Sales Master'!$B$3:$AZ$537,51,0)</f>
        <v>16</v>
      </c>
      <c r="L29" s="378">
        <f>K29*G29</f>
        <v>16</v>
      </c>
      <c r="N29" s="145"/>
      <c r="O29" s="145"/>
      <c r="P29" s="145"/>
    </row>
    <row r="30" spans="2:17" ht="20.149999999999999" customHeight="1" x14ac:dyDescent="0.45">
      <c r="B30" s="375"/>
      <c r="C30" s="212" t="s">
        <v>864</v>
      </c>
      <c r="D30" s="487" t="str">
        <f>VLOOKUP(C30,'Sales Master'!B$3:D$537,2,)</f>
        <v>Red Date (Seedless) 红枣(无)</v>
      </c>
      <c r="E30" s="487"/>
      <c r="F30" s="487"/>
      <c r="G30" s="76">
        <v>1</v>
      </c>
      <c r="H30" s="186" t="str">
        <f>VLOOKUP(C30,'Sales Master'!$B$3:$F$2420,5,0)</f>
        <v>1 kg</v>
      </c>
      <c r="I30" s="484" t="str">
        <f>VLOOKUP(C30,'Sales Master'!$B$3:$E$2420,4,0)</f>
        <v>-</v>
      </c>
      <c r="J30" s="484"/>
      <c r="K30" s="377">
        <f>VLOOKUP(C30,'Sales Master'!$B$3:$AZ$537,51,0)</f>
        <v>5</v>
      </c>
      <c r="L30" s="378">
        <f>K30*G30</f>
        <v>5</v>
      </c>
      <c r="N30" s="145"/>
      <c r="O30" s="145"/>
      <c r="P30" s="145"/>
      <c r="Q30" s="170"/>
    </row>
    <row r="31" spans="2:17" ht="20.149999999999999" customHeight="1" x14ac:dyDescent="0.45">
      <c r="B31" s="375"/>
      <c r="C31" s="212" t="s">
        <v>1659</v>
      </c>
      <c r="D31" s="487" t="str">
        <f>VLOOKUP(C31,'Sales Master'!B$3:D$537,2,)</f>
        <v>Peach Gum 桃胶</v>
      </c>
      <c r="E31" s="487"/>
      <c r="F31" s="487"/>
      <c r="G31" s="76">
        <v>4</v>
      </c>
      <c r="H31" s="186" t="str">
        <f>VLOOKUP(C31,'Sales Master'!$B$3:$F$2420,5,0)</f>
        <v>500 GM/ Bag</v>
      </c>
      <c r="I31" s="484" t="str">
        <f>VLOOKUP(C31,'Sales Master'!$B$3:$E$2420,4,0)</f>
        <v>AAA</v>
      </c>
      <c r="J31" s="484"/>
      <c r="K31" s="377">
        <f>VLOOKUP(C31,'Sales Master'!$B$3:$AZ$537,51,0)</f>
        <v>10.8</v>
      </c>
      <c r="L31" s="378">
        <f t="shared" ref="L31:L34" si="3">K31*G31</f>
        <v>43.2</v>
      </c>
      <c r="N31" s="145"/>
      <c r="O31" s="145"/>
      <c r="P31" s="145"/>
    </row>
    <row r="32" spans="2:17" ht="20.5" customHeight="1" x14ac:dyDescent="0.45">
      <c r="B32" s="375"/>
      <c r="C32" s="212" t="s">
        <v>930</v>
      </c>
      <c r="D32" s="487" t="str">
        <f>VLOOKUP(C32,'Sales Master'!B$3:D$537,2,)</f>
        <v>Longan in Syrup 龙眼</v>
      </c>
      <c r="E32" s="487"/>
      <c r="F32" s="487"/>
      <c r="G32" s="76">
        <v>1</v>
      </c>
      <c r="H32" s="186" t="str">
        <f>VLOOKUP(C32,'Sales Master'!$B$3:$F$2420,5,0)</f>
        <v>(565gm x 12)/ Ctn箱</v>
      </c>
      <c r="I32" s="484" t="str">
        <f>VLOOKUP(C32,'Sales Master'!$B$3:$E$2420,4,0)</f>
        <v>YiFong</v>
      </c>
      <c r="J32" s="484"/>
      <c r="K32" s="377">
        <f>VLOOKUP(C32,'Sales Master'!$B$3:$AZ$537,51,0)</f>
        <v>24</v>
      </c>
      <c r="L32" s="378">
        <f>K32*G32</f>
        <v>24</v>
      </c>
      <c r="N32" s="145"/>
      <c r="O32" s="145"/>
      <c r="P32" s="145"/>
    </row>
    <row r="33" spans="2:17" ht="20.149999999999999" customHeight="1" x14ac:dyDescent="0.45">
      <c r="B33" s="375"/>
      <c r="C33" s="212" t="s">
        <v>966</v>
      </c>
      <c r="D33" s="487" t="str">
        <f>VLOOKUP(C33,'Sales Master'!B$3:D$537,2,)</f>
        <v>Coconut Milk 椰浆</v>
      </c>
      <c r="E33" s="487"/>
      <c r="F33" s="487"/>
      <c r="G33" s="76">
        <v>2</v>
      </c>
      <c r="H33" s="186" t="str">
        <f>VLOOKUP(C33,'Sales Master'!$B$3:$F$2420,5,0)</f>
        <v>(1L x 12bag)/箱</v>
      </c>
      <c r="I33" s="484" t="str">
        <f>VLOOKUP(C33,'Sales Master'!$B$3:$E$2420,4,0)</f>
        <v>Kara UHT</v>
      </c>
      <c r="J33" s="484"/>
      <c r="K33" s="377">
        <f>VLOOKUP(C33,'Sales Master'!$B$3:$AZ$537,51,0)</f>
        <v>54</v>
      </c>
      <c r="L33" s="378">
        <f>K33*G33</f>
        <v>108</v>
      </c>
      <c r="N33" s="145"/>
      <c r="O33" s="145"/>
      <c r="P33" s="145"/>
      <c r="Q33" s="170"/>
    </row>
    <row r="34" spans="2:17" ht="20.149999999999999" customHeight="1" x14ac:dyDescent="0.45">
      <c r="B34" s="375"/>
      <c r="C34" s="212" t="s">
        <v>1153</v>
      </c>
      <c r="D34" s="487" t="str">
        <f>VLOOKUP(C34,'Sales Master'!B$3:D$537,2,)</f>
        <v>Fruit Cocktail 杂果</v>
      </c>
      <c r="E34" s="487"/>
      <c r="F34" s="487"/>
      <c r="G34" s="76">
        <v>1</v>
      </c>
      <c r="H34" s="186" t="str">
        <f>VLOOKUP(C34,'Sales Master'!$B$3:$F$2420,5,0)</f>
        <v>(836gm x 12)/ Ctn箱</v>
      </c>
      <c r="I34" s="484" t="str">
        <f>VLOOKUP(C34,'Sales Master'!$B$3:$E$2420,4,0)</f>
        <v>Hosen</v>
      </c>
      <c r="J34" s="484"/>
      <c r="K34" s="377">
        <f>VLOOKUP(C34,'Sales Master'!$B$3:$AZ$537,51,0)</f>
        <v>25</v>
      </c>
      <c r="L34" s="378">
        <f t="shared" si="3"/>
        <v>25</v>
      </c>
      <c r="N34" s="145"/>
      <c r="O34" s="145"/>
      <c r="P34" s="145"/>
    </row>
    <row r="35" spans="2:17" ht="20.149999999999999" customHeight="1" x14ac:dyDescent="0.45">
      <c r="B35" s="375"/>
      <c r="C35" s="212" t="s">
        <v>2174</v>
      </c>
      <c r="D35" s="487" t="str">
        <f>VLOOKUP(C35,'Sales Master'!B$3:D$537,2,)</f>
        <v>Lychee in Syrup 荔枝</v>
      </c>
      <c r="E35" s="487"/>
      <c r="F35" s="487"/>
      <c r="G35" s="76">
        <v>1</v>
      </c>
      <c r="H35" s="186" t="str">
        <f>VLOOKUP(C35,'Sales Master'!$B$3:$F$2420,5,0)</f>
        <v>(567gm x 12)/ Ctn箱</v>
      </c>
      <c r="I35" s="484" t="str">
        <f>VLOOKUP(C35,'Sales Master'!$B$3:$E$2420,4,0)</f>
        <v>GoldenBoy</v>
      </c>
      <c r="J35" s="484"/>
      <c r="K35" s="377">
        <f>VLOOKUP(C35,'Sales Master'!$B$3:$AZ$537,51,0)</f>
        <v>22</v>
      </c>
      <c r="L35" s="378">
        <f>K35*G35</f>
        <v>22</v>
      </c>
      <c r="N35" s="145"/>
      <c r="O35" s="145"/>
      <c r="P35" s="145"/>
    </row>
    <row r="36" spans="2:17" ht="20.5" customHeight="1" x14ac:dyDescent="0.45">
      <c r="B36" s="375"/>
      <c r="C36" s="212" t="s">
        <v>1855</v>
      </c>
      <c r="D36" s="487" t="str">
        <f>VLOOKUP(C36,'Sales Master'!B$3:D$537,2,)</f>
        <v>Tapioca木薯</v>
      </c>
      <c r="E36" s="487"/>
      <c r="F36" s="487"/>
      <c r="G36" s="76">
        <v>2</v>
      </c>
      <c r="H36" s="186" t="str">
        <f>VLOOKUP(C36,'Sales Master'!$B$3:$F$2420,5,0)</f>
        <v>2 KGS</v>
      </c>
      <c r="I36" s="484" t="str">
        <f>VLOOKUP(C36,'Sales Master'!$B$3:$E$2420,4,0)</f>
        <v>-</v>
      </c>
      <c r="J36" s="484"/>
      <c r="K36" s="377">
        <f>VLOOKUP(C36,'Sales Master'!$B$3:$AZ$537,51,0)</f>
        <v>3.6</v>
      </c>
      <c r="L36" s="378">
        <f>K36*G36</f>
        <v>7.2</v>
      </c>
      <c r="N36" s="145"/>
      <c r="O36" s="145"/>
      <c r="P36" s="145"/>
    </row>
    <row r="37" spans="2:17" ht="20.149999999999999" customHeight="1" x14ac:dyDescent="0.45">
      <c r="B37" s="375"/>
      <c r="C37" s="212"/>
      <c r="G37" s="76"/>
      <c r="H37" s="186"/>
      <c r="I37" s="208"/>
      <c r="J37" s="208"/>
      <c r="K37" s="377"/>
      <c r="L37" s="378"/>
      <c r="N37" s="145"/>
      <c r="O37" s="145"/>
      <c r="P37" s="145"/>
      <c r="Q37" s="170"/>
    </row>
    <row r="38" spans="2:17" ht="20.149999999999999" customHeight="1" x14ac:dyDescent="0.45">
      <c r="B38" s="375"/>
      <c r="C38" s="212"/>
      <c r="D38" s="487"/>
      <c r="E38" s="487"/>
      <c r="F38" s="487"/>
      <c r="G38" s="76"/>
      <c r="H38" s="186"/>
      <c r="I38" s="484"/>
      <c r="J38" s="484"/>
      <c r="K38" s="377"/>
      <c r="L38" s="378"/>
      <c r="N38" s="145"/>
      <c r="O38" s="145"/>
      <c r="P38" s="145"/>
    </row>
    <row r="39" spans="2:17" ht="20.5" customHeight="1" x14ac:dyDescent="0.45">
      <c r="B39" s="375"/>
      <c r="C39" s="149" t="s">
        <v>2274</v>
      </c>
      <c r="D39" s="403"/>
      <c r="E39" s="403"/>
      <c r="F39" s="403"/>
      <c r="G39" s="76"/>
      <c r="H39" s="186"/>
      <c r="I39" s="484"/>
      <c r="J39" s="484"/>
      <c r="K39" s="190"/>
      <c r="L39" s="378"/>
      <c r="N39" s="145"/>
      <c r="O39" s="145"/>
      <c r="P39" s="145"/>
    </row>
    <row r="40" spans="2:17" ht="20.149999999999999" customHeight="1" x14ac:dyDescent="0.45">
      <c r="B40" s="375"/>
      <c r="C40" s="212" t="s">
        <v>966</v>
      </c>
      <c r="D40" s="524" t="str">
        <f>VLOOKUP(C40,'Sales Master'!B$3:D$537,2,)</f>
        <v>Coconut Milk 椰浆</v>
      </c>
      <c r="E40" s="524"/>
      <c r="F40" s="524"/>
      <c r="G40" s="76">
        <v>1</v>
      </c>
      <c r="H40" s="186" t="str">
        <f>VLOOKUP(C40,'Sales Master'!$B$3:$F$2420,5,0)</f>
        <v>(1L x 12bag)/箱</v>
      </c>
      <c r="I40" s="484" t="str">
        <f>VLOOKUP(C40,'Sales Master'!$B$3:$E$2420,4,0)</f>
        <v>Kara UHT</v>
      </c>
      <c r="J40" s="484"/>
      <c r="K40" s="190">
        <v>54</v>
      </c>
      <c r="L40" s="378"/>
      <c r="N40" s="145"/>
      <c r="O40" s="145"/>
      <c r="P40" s="145"/>
      <c r="Q40" s="170"/>
    </row>
    <row r="41" spans="2:17" ht="20.149999999999999" customHeight="1" x14ac:dyDescent="0.45">
      <c r="B41" s="375"/>
      <c r="C41" s="376"/>
      <c r="G41" s="76"/>
      <c r="H41" s="186"/>
      <c r="I41" s="208"/>
      <c r="J41" s="208"/>
      <c r="K41" s="377"/>
      <c r="L41" s="378"/>
      <c r="N41" s="145"/>
      <c r="O41" s="145"/>
      <c r="P41" s="145"/>
      <c r="Q41" s="170"/>
    </row>
    <row r="42" spans="2:17" ht="20.149999999999999" customHeight="1" thickBot="1" x14ac:dyDescent="0.5">
      <c r="B42" s="379"/>
      <c r="C42" s="366"/>
      <c r="D42" s="534"/>
      <c r="E42" s="534"/>
      <c r="F42" s="534"/>
      <c r="G42" s="366"/>
      <c r="H42" s="366"/>
      <c r="I42" s="366"/>
      <c r="J42" s="366"/>
      <c r="K42" s="380"/>
      <c r="L42" s="381"/>
    </row>
    <row r="43" spans="2:17" ht="20.149999999999999" customHeight="1" thickBot="1" x14ac:dyDescent="0.5">
      <c r="B43" s="375"/>
      <c r="C43" s="365"/>
      <c r="D43" s="365"/>
      <c r="E43" s="365"/>
      <c r="F43" s="365"/>
      <c r="G43" s="365"/>
      <c r="H43" s="365"/>
      <c r="I43" s="365"/>
      <c r="J43" s="365"/>
      <c r="K43" s="365"/>
      <c r="L43" s="382"/>
    </row>
    <row r="44" spans="2:17" ht="20.149999999999999" customHeight="1" x14ac:dyDescent="0.45">
      <c r="B44" s="10" t="s">
        <v>16</v>
      </c>
      <c r="C44" s="383"/>
      <c r="D44" s="383"/>
      <c r="E44" s="383"/>
      <c r="F44" s="383"/>
      <c r="G44" s="383"/>
      <c r="H44" s="383"/>
      <c r="I44" s="383"/>
      <c r="J44" s="489" t="s">
        <v>13</v>
      </c>
      <c r="K44" s="490"/>
      <c r="L44" s="384">
        <f>SUM(L18:L42)</f>
        <v>492.9</v>
      </c>
      <c r="M44" s="63">
        <f>SUM(P18:P42)-L44*0.04</f>
        <v>-19.716000000000001</v>
      </c>
      <c r="N44" s="133">
        <f>M44/L44</f>
        <v>-0.04</v>
      </c>
    </row>
    <row r="45" spans="2:17" ht="20.149999999999999" customHeight="1" x14ac:dyDescent="0.45">
      <c r="B45" s="10" t="s">
        <v>17</v>
      </c>
      <c r="C45" s="383"/>
      <c r="D45" s="383"/>
      <c r="E45" s="383"/>
      <c r="F45" s="383"/>
      <c r="G45" s="383"/>
      <c r="H45" s="383"/>
      <c r="I45" s="383"/>
      <c r="J45" s="39" t="s">
        <v>20</v>
      </c>
      <c r="K45" s="393"/>
      <c r="L45" s="386">
        <f>L44*K45</f>
        <v>0</v>
      </c>
    </row>
    <row r="46" spans="2:17" ht="20.149999999999999" customHeight="1" x14ac:dyDescent="0.45">
      <c r="B46" s="10" t="s">
        <v>18</v>
      </c>
      <c r="C46" s="383"/>
      <c r="D46" s="383"/>
      <c r="E46" s="383"/>
      <c r="F46" s="383"/>
      <c r="G46" s="383"/>
      <c r="H46" s="383"/>
      <c r="I46" s="383"/>
      <c r="J46" s="491" t="s">
        <v>19</v>
      </c>
      <c r="K46" s="492"/>
      <c r="L46" s="386">
        <f>L44-L45</f>
        <v>492.9</v>
      </c>
    </row>
    <row r="47" spans="2:17" ht="20.149999999999999" customHeight="1" x14ac:dyDescent="0.45">
      <c r="B47" s="10" t="s">
        <v>22</v>
      </c>
      <c r="C47" s="383"/>
      <c r="D47" s="383"/>
      <c r="E47" s="383"/>
      <c r="F47" s="383"/>
      <c r="G47" s="383"/>
      <c r="H47" s="383"/>
      <c r="I47" s="383"/>
      <c r="J47" s="39" t="s">
        <v>15</v>
      </c>
      <c r="K47" s="385">
        <f>'Sales Master'!$B$1</f>
        <v>0.09</v>
      </c>
      <c r="L47" s="387">
        <f>L46*K47</f>
        <v>44.360999999999997</v>
      </c>
    </row>
    <row r="48" spans="2:17" ht="20.149999999999999" customHeight="1" thickBot="1" x14ac:dyDescent="0.5">
      <c r="B48" s="10" t="s">
        <v>23</v>
      </c>
      <c r="C48" s="383"/>
      <c r="D48" s="383"/>
      <c r="E48" s="383"/>
      <c r="F48" s="383"/>
      <c r="G48" s="383"/>
      <c r="H48" s="383"/>
      <c r="I48" s="383"/>
      <c r="J48" s="485" t="s">
        <v>21</v>
      </c>
      <c r="K48" s="486"/>
      <c r="L48" s="388">
        <f>L46+L47</f>
        <v>537.26099999999997</v>
      </c>
    </row>
    <row r="49" spans="2:12" ht="20.149999999999999" customHeight="1" x14ac:dyDescent="0.45">
      <c r="B49" s="10" t="s">
        <v>24</v>
      </c>
      <c r="C49" s="383"/>
      <c r="D49" s="383"/>
      <c r="E49" s="383"/>
      <c r="F49" s="383"/>
      <c r="G49" s="383"/>
      <c r="H49" s="383"/>
      <c r="I49" s="383"/>
      <c r="J49" s="365"/>
      <c r="K49" s="365"/>
      <c r="L49" s="382"/>
    </row>
    <row r="50" spans="2:12" ht="20.149999999999999" customHeight="1" x14ac:dyDescent="0.45">
      <c r="B50" s="375"/>
      <c r="C50" s="365"/>
      <c r="D50" s="365"/>
      <c r="E50" s="365"/>
      <c r="F50" s="365"/>
      <c r="G50" s="365"/>
      <c r="H50" s="365"/>
      <c r="I50" s="365"/>
      <c r="J50" s="365"/>
      <c r="K50" s="365"/>
      <c r="L50" s="382"/>
    </row>
    <row r="51" spans="2:12" ht="20.149999999999999" customHeight="1" x14ac:dyDescent="0.45">
      <c r="B51" s="375"/>
      <c r="C51" s="365"/>
      <c r="D51" s="365"/>
      <c r="E51" s="365"/>
      <c r="F51" s="365"/>
      <c r="G51" s="365"/>
      <c r="H51" s="365"/>
      <c r="I51" s="365"/>
      <c r="J51" s="365"/>
      <c r="K51" s="365"/>
      <c r="L51" s="382"/>
    </row>
    <row r="52" spans="2:12" ht="20.149999999999999" customHeight="1" x14ac:dyDescent="0.45">
      <c r="B52" s="375"/>
      <c r="C52" s="365"/>
      <c r="D52" s="365"/>
      <c r="E52" s="365"/>
      <c r="F52" s="365"/>
      <c r="G52" s="365"/>
      <c r="H52" s="365"/>
      <c r="I52" s="365"/>
      <c r="J52" s="365"/>
      <c r="K52" s="365"/>
      <c r="L52" s="382"/>
    </row>
    <row r="53" spans="2:12" ht="20.149999999999999" customHeight="1" x14ac:dyDescent="0.45">
      <c r="B53" s="375"/>
      <c r="C53" s="365"/>
      <c r="D53" s="365"/>
      <c r="E53" s="365"/>
      <c r="F53" s="365"/>
      <c r="G53" s="365"/>
      <c r="H53" s="365"/>
      <c r="I53" s="365"/>
      <c r="J53" s="365"/>
      <c r="K53" s="365"/>
      <c r="L53" s="382"/>
    </row>
    <row r="54" spans="2:12" ht="20.149999999999999" customHeight="1" x14ac:dyDescent="0.45">
      <c r="B54" s="389"/>
      <c r="C54" s="390"/>
      <c r="D54" s="390"/>
      <c r="E54" s="365"/>
      <c r="F54" s="365"/>
      <c r="G54" s="365"/>
      <c r="H54" s="365"/>
      <c r="I54" s="365"/>
      <c r="J54" s="390"/>
      <c r="K54" s="390"/>
      <c r="L54" s="391"/>
    </row>
    <row r="55" spans="2:12" ht="20.149999999999999" customHeight="1" x14ac:dyDescent="0.45">
      <c r="B55" s="36" t="s">
        <v>25</v>
      </c>
      <c r="C55" s="365"/>
      <c r="D55" s="365"/>
      <c r="E55" s="365"/>
      <c r="F55" s="365"/>
      <c r="G55" s="365"/>
      <c r="H55" s="365"/>
      <c r="I55" s="365"/>
      <c r="J55" s="19" t="s">
        <v>26</v>
      </c>
      <c r="K55" s="365"/>
      <c r="L55" s="382"/>
    </row>
    <row r="56" spans="2:12" ht="19" thickBot="1" x14ac:dyDescent="0.5">
      <c r="B56" s="379"/>
      <c r="C56" s="366"/>
      <c r="D56" s="366"/>
      <c r="E56" s="366"/>
      <c r="F56" s="366"/>
      <c r="G56" s="366"/>
      <c r="H56" s="366"/>
      <c r="I56" s="366"/>
      <c r="J56" s="366"/>
      <c r="K56" s="366"/>
      <c r="L56" s="392"/>
    </row>
  </sheetData>
  <mergeCells count="62">
    <mergeCell ref="I17:J17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36:F36"/>
    <mergeCell ref="I36:J36"/>
    <mergeCell ref="I25:J25"/>
    <mergeCell ref="D25:F25"/>
    <mergeCell ref="D32:F32"/>
    <mergeCell ref="I32:J32"/>
    <mergeCell ref="I18:J18"/>
    <mergeCell ref="D18:F18"/>
    <mergeCell ref="I28:J28"/>
    <mergeCell ref="D28:F28"/>
    <mergeCell ref="D29:F29"/>
    <mergeCell ref="I29:J29"/>
    <mergeCell ref="D26:F26"/>
    <mergeCell ref="I26:J26"/>
    <mergeCell ref="I23:J23"/>
    <mergeCell ref="D23:F23"/>
    <mergeCell ref="D22:F22"/>
    <mergeCell ref="D19:F19"/>
    <mergeCell ref="I27:J27"/>
    <mergeCell ref="I21:J21"/>
    <mergeCell ref="I20:J20"/>
    <mergeCell ref="I24:J24"/>
    <mergeCell ref="J48:K48"/>
    <mergeCell ref="D42:F42"/>
    <mergeCell ref="J44:K44"/>
    <mergeCell ref="J46:K46"/>
    <mergeCell ref="D30:F30"/>
    <mergeCell ref="I39:J39"/>
    <mergeCell ref="I30:J30"/>
    <mergeCell ref="I38:J38"/>
    <mergeCell ref="D38:F38"/>
    <mergeCell ref="D40:F40"/>
    <mergeCell ref="I40:J40"/>
    <mergeCell ref="D31:F31"/>
    <mergeCell ref="D33:F33"/>
    <mergeCell ref="D34:F34"/>
    <mergeCell ref="I31:J31"/>
    <mergeCell ref="I35:J35"/>
    <mergeCell ref="I19:J19"/>
    <mergeCell ref="I34:J34"/>
    <mergeCell ref="D35:F35"/>
    <mergeCell ref="D27:F27"/>
    <mergeCell ref="D21:F21"/>
    <mergeCell ref="D20:F20"/>
    <mergeCell ref="D24:F24"/>
    <mergeCell ref="I22:J22"/>
    <mergeCell ref="I33:J33"/>
  </mergeCells>
  <conditionalFormatting sqref="C39">
    <cfRule type="duplicateValues" dxfId="234" priority="1"/>
  </conditionalFormatting>
  <pageMargins left="0.70866141732283472" right="0.31496062992125984" top="0.23622047244094491" bottom="0.23622047244094491" header="0.31496062992125984" footer="0.31496062992125984"/>
  <pageSetup paperSize="9" scale="72" orientation="portrait" horizontalDpi="4294967293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84034-97B9-4ECA-B6E1-4335421AA81A}">
  <sheetPr codeName="Sheet162">
    <tabColor rgb="FFFFC000"/>
    <pageSetUpPr fitToPage="1"/>
  </sheetPr>
  <dimension ref="B1:Q38"/>
  <sheetViews>
    <sheetView topLeftCell="A14" workbookViewId="0">
      <selection activeCell="D18" sqref="D18:F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153</v>
      </c>
      <c r="J10" s="24" t="s">
        <v>27</v>
      </c>
      <c r="K10" s="464">
        <v>202501030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 -  Drink                                              9 Tampines Street 32,   Tampines Mart. Singapore 529287.             </v>
      </c>
      <c r="G11" s="470"/>
      <c r="H11" s="471"/>
      <c r="J11" s="26" t="s">
        <v>9</v>
      </c>
      <c r="K11" s="478">
        <v>45659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7" ht="20.149999999999999" customHeight="1" x14ac:dyDescent="0.45">
      <c r="B18" s="29"/>
      <c r="C18" s="212" t="s">
        <v>966</v>
      </c>
      <c r="D18" s="487" t="str">
        <f>VLOOKUP(C18,'Sales Master'!B$3:D$537,2,)</f>
        <v>Coconut Milk 椰浆</v>
      </c>
      <c r="E18" s="487"/>
      <c r="F18" s="487"/>
      <c r="G18" s="17">
        <v>4</v>
      </c>
      <c r="H18" s="186" t="str">
        <f>VLOOKUP(C18,'Sales Master'!$B$3:$F$2420,5,0)</f>
        <v>(1L x 12bag)/箱</v>
      </c>
      <c r="I18" s="484" t="str">
        <f>VLOOKUP(C18,'Sales Master'!$B$3:$E$2420,4,0)</f>
        <v>Kara UHT</v>
      </c>
      <c r="J18" s="484"/>
      <c r="K18" s="30">
        <f>VLOOKUP(C18,'Sales Master'!$B$3:$J$537,9,0)</f>
        <v>54</v>
      </c>
      <c r="L18" s="64">
        <f>K18*G18</f>
        <v>216</v>
      </c>
    </row>
    <row r="19" spans="2:17" ht="20.149999999999999" customHeight="1" x14ac:dyDescent="0.45">
      <c r="B19" s="29"/>
      <c r="C19" s="212" t="s">
        <v>787</v>
      </c>
      <c r="D19" s="487" t="str">
        <f>VLOOKUP(C19,'Sales Master'!B$3:D$537,2,)</f>
        <v>Potato Starch 风车粉</v>
      </c>
      <c r="E19" s="487"/>
      <c r="F19" s="487"/>
      <c r="G19" s="17">
        <v>1</v>
      </c>
      <c r="H19" s="186" t="str">
        <f>VLOOKUP(C19,'Sales Master'!$B$3:$F$2420,5,0)</f>
        <v>350 GM x 24/ Ctn箱</v>
      </c>
      <c r="I19" s="484" t="str">
        <f>VLOOKUP(C19,'Sales Master'!$B$3:$E$2420,4,0)</f>
        <v>Windmill</v>
      </c>
      <c r="J19" s="484"/>
      <c r="K19" s="30">
        <f>VLOOKUP(C19,'Sales Master'!$B$3:$J$537,9,0)</f>
        <v>41</v>
      </c>
      <c r="L19" s="64">
        <f>K19*G19</f>
        <v>41</v>
      </c>
    </row>
    <row r="20" spans="2:17" ht="20.149999999999999" customHeight="1" x14ac:dyDescent="0.45">
      <c r="B20" s="29"/>
      <c r="C20" s="17"/>
      <c r="D20" s="487"/>
      <c r="E20" s="487"/>
      <c r="F20" s="487"/>
      <c r="G20" s="17"/>
      <c r="H20" s="186"/>
      <c r="I20" s="484"/>
      <c r="J20" s="484"/>
      <c r="K20" s="30"/>
      <c r="L20" s="64"/>
      <c r="N20" s="145"/>
      <c r="O20" s="145"/>
      <c r="P20" s="145"/>
      <c r="Q20" s="170"/>
    </row>
    <row r="21" spans="2:17" ht="20.149999999999999" customHeight="1" x14ac:dyDescent="0.45">
      <c r="B21" s="29"/>
      <c r="C21" s="17"/>
      <c r="D21" s="487"/>
      <c r="E21" s="487"/>
      <c r="F21" s="487"/>
      <c r="G21" s="17"/>
      <c r="H21" s="186"/>
      <c r="I21" s="484"/>
      <c r="J21" s="484"/>
      <c r="K21" s="30"/>
      <c r="L21" s="64"/>
      <c r="N21" s="145"/>
      <c r="O21" s="145"/>
      <c r="P21" s="145"/>
      <c r="Q21" s="170"/>
    </row>
    <row r="22" spans="2:17" ht="20.149999999999999" customHeight="1" x14ac:dyDescent="0.45">
      <c r="B22" s="29"/>
      <c r="C22" s="17"/>
      <c r="D22" s="487"/>
      <c r="E22" s="487"/>
      <c r="F22" s="487"/>
      <c r="G22" s="17"/>
      <c r="H22" s="186"/>
      <c r="I22" s="484"/>
      <c r="J22" s="484"/>
      <c r="K22" s="30"/>
      <c r="L22" s="64"/>
      <c r="N22" s="145"/>
      <c r="O22" s="145"/>
      <c r="P22" s="145"/>
      <c r="Q22" s="170"/>
    </row>
    <row r="23" spans="2:17" ht="20.149999999999999" customHeight="1" x14ac:dyDescent="0.45">
      <c r="B23" s="29"/>
      <c r="C23" s="17"/>
      <c r="D23" s="487"/>
      <c r="E23" s="487"/>
      <c r="F23" s="487"/>
      <c r="G23" s="17"/>
      <c r="H23" s="186"/>
      <c r="I23" s="484"/>
      <c r="J23" s="484"/>
      <c r="K23" s="30"/>
      <c r="L23" s="64"/>
      <c r="N23" s="145"/>
      <c r="O23" s="145"/>
      <c r="P23" s="145"/>
      <c r="Q23" s="170"/>
    </row>
    <row r="24" spans="2:17" ht="20.149999999999999" customHeight="1" thickBot="1" x14ac:dyDescent="0.5">
      <c r="B24" s="32"/>
      <c r="C24" s="33"/>
      <c r="D24" s="488"/>
      <c r="E24" s="488"/>
      <c r="F24" s="488"/>
      <c r="G24" s="33"/>
      <c r="H24" s="33"/>
      <c r="I24" s="33"/>
      <c r="J24" s="33"/>
      <c r="K24" s="34"/>
      <c r="L24" s="35"/>
    </row>
    <row r="25" spans="2:17" ht="20.149999999999999" customHeight="1" thickBot="1" x14ac:dyDescent="0.5">
      <c r="B25" s="36"/>
      <c r="L25" s="37"/>
    </row>
    <row r="26" spans="2:17" ht="20.149999999999999" customHeight="1" x14ac:dyDescent="0.45">
      <c r="B26" s="10" t="s">
        <v>16</v>
      </c>
      <c r="C26" s="6"/>
      <c r="D26" s="6"/>
      <c r="E26" s="6"/>
      <c r="F26" s="6"/>
      <c r="G26" s="6"/>
      <c r="H26" s="6"/>
      <c r="I26" s="6"/>
      <c r="J26" s="489" t="s">
        <v>13</v>
      </c>
      <c r="K26" s="490"/>
      <c r="L26" s="38">
        <f>SUM(L16:L24)</f>
        <v>257</v>
      </c>
      <c r="M26" s="63">
        <f>SUM(P18:P24)-L26*0.04</f>
        <v>-10.28</v>
      </c>
      <c r="N26" s="133">
        <f>M26/L26</f>
        <v>-0.04</v>
      </c>
    </row>
    <row r="27" spans="2:17" ht="20.149999999999999" customHeight="1" x14ac:dyDescent="0.45">
      <c r="B27" s="10" t="s">
        <v>17</v>
      </c>
      <c r="C27" s="6"/>
      <c r="D27" s="6"/>
      <c r="E27" s="6"/>
      <c r="F27" s="6"/>
      <c r="G27" s="6"/>
      <c r="H27" s="6"/>
      <c r="I27" s="6"/>
      <c r="J27" s="39" t="s">
        <v>20</v>
      </c>
      <c r="K27" s="40"/>
      <c r="L27" s="41">
        <f>L26*K27</f>
        <v>0</v>
      </c>
    </row>
    <row r="28" spans="2:17" ht="20.149999999999999" customHeight="1" x14ac:dyDescent="0.45">
      <c r="B28" s="10" t="s">
        <v>18</v>
      </c>
      <c r="C28" s="6"/>
      <c r="D28" s="6"/>
      <c r="E28" s="6"/>
      <c r="F28" s="6"/>
      <c r="G28" s="6"/>
      <c r="H28" s="6"/>
      <c r="I28" s="6"/>
      <c r="J28" s="491" t="s">
        <v>19</v>
      </c>
      <c r="K28" s="492"/>
      <c r="L28" s="41">
        <f>L26-L27</f>
        <v>257</v>
      </c>
    </row>
    <row r="29" spans="2:17" ht="20.149999999999999" customHeight="1" x14ac:dyDescent="0.45">
      <c r="B29" s="10" t="s">
        <v>22</v>
      </c>
      <c r="C29" s="6"/>
      <c r="D29" s="6"/>
      <c r="E29" s="6"/>
      <c r="F29" s="6"/>
      <c r="G29" s="6"/>
      <c r="H29" s="6"/>
      <c r="I29" s="6"/>
      <c r="J29" s="102" t="s">
        <v>15</v>
      </c>
      <c r="K29" s="103">
        <f>'Sales Master'!$B$1</f>
        <v>0.09</v>
      </c>
      <c r="L29" s="42">
        <f>L28*K29</f>
        <v>23.13</v>
      </c>
    </row>
    <row r="30" spans="2:17" ht="20.149999999999999" customHeight="1" thickBot="1" x14ac:dyDescent="0.5">
      <c r="B30" s="10" t="s">
        <v>23</v>
      </c>
      <c r="C30" s="6"/>
      <c r="D30" s="6"/>
      <c r="E30" s="6"/>
      <c r="F30" s="6"/>
      <c r="G30" s="6"/>
      <c r="H30" s="6"/>
      <c r="I30" s="6"/>
      <c r="J30" s="485" t="s">
        <v>21</v>
      </c>
      <c r="K30" s="486"/>
      <c r="L30" s="43">
        <f>L28+L29</f>
        <v>280.13</v>
      </c>
    </row>
    <row r="31" spans="2:17" ht="20.149999999999999" customHeight="1" x14ac:dyDescent="0.45">
      <c r="B31" s="10" t="s">
        <v>24</v>
      </c>
      <c r="C31" s="6"/>
      <c r="D31" s="6"/>
      <c r="E31" s="6"/>
      <c r="F31" s="6"/>
      <c r="G31" s="6"/>
      <c r="H31" s="6"/>
      <c r="I31" s="6"/>
      <c r="L31" s="37"/>
    </row>
    <row r="32" spans="2:17" ht="20.149999999999999" customHeight="1" x14ac:dyDescent="0.45">
      <c r="B32" s="36"/>
      <c r="L32" s="37"/>
    </row>
    <row r="33" spans="2:12" ht="20.149999999999999" customHeight="1" x14ac:dyDescent="0.45">
      <c r="B33" s="3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44"/>
      <c r="C36" s="45"/>
      <c r="D36" s="45"/>
      <c r="J36" s="45"/>
      <c r="K36" s="45"/>
      <c r="L36" s="46"/>
    </row>
    <row r="37" spans="2:12" ht="20.149999999999999" customHeight="1" x14ac:dyDescent="0.45">
      <c r="B37" s="36" t="s">
        <v>25</v>
      </c>
      <c r="J37" s="19" t="s">
        <v>26</v>
      </c>
      <c r="L37" s="37"/>
    </row>
    <row r="38" spans="2:12" ht="19" thickBot="1" x14ac:dyDescent="0.5"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</row>
  </sheetData>
  <mergeCells count="3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J28:K28"/>
    <mergeCell ref="J30:K30"/>
    <mergeCell ref="D24:F24"/>
    <mergeCell ref="J26:K26"/>
    <mergeCell ref="D21:F21"/>
    <mergeCell ref="I21:J21"/>
    <mergeCell ref="D22:F22"/>
    <mergeCell ref="I22:J22"/>
    <mergeCell ref="D23:F23"/>
    <mergeCell ref="I23:J23"/>
  </mergeCells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CA6AD-27CA-4D86-A0A9-B9719D7F041E}">
  <sheetPr codeName="Sheet78">
    <tabColor rgb="FF7030A0"/>
    <pageSetUpPr fitToPage="1"/>
  </sheetPr>
  <dimension ref="B1:O51"/>
  <sheetViews>
    <sheetView topLeftCell="B15" workbookViewId="0">
      <selection activeCell="B1" sqref="B1:L51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5429687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155</v>
      </c>
      <c r="J10" s="68" t="s">
        <v>27</v>
      </c>
      <c r="K10" s="464"/>
      <c r="L10" s="465"/>
    </row>
    <row r="11" spans="2:12" ht="20.149999999999999" customHeight="1" x14ac:dyDescent="0.45">
      <c r="B11" s="466" t="s">
        <v>1144</v>
      </c>
      <c r="C11" s="467"/>
      <c r="D11" s="468"/>
      <c r="E11" s="25"/>
      <c r="F11" s="469" t="str">
        <f>VLOOKUP(H10,'Delivery Location'!A$4:N$466,2,0)</f>
        <v>1983 - A TASTE OF NANYANG                         9, WOODLANDS AVENUE 9.                       SOUTH FOOD COURT LEVER 2                SINGAPORE 738964</v>
      </c>
      <c r="G11" s="470"/>
      <c r="H11" s="471"/>
      <c r="J11" s="69" t="s">
        <v>9</v>
      </c>
      <c r="K11" s="500"/>
      <c r="L11" s="483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69" t="s">
        <v>127</v>
      </c>
      <c r="K12" s="482" t="s">
        <v>331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69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69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70" t="s">
        <v>11</v>
      </c>
      <c r="K15" s="118"/>
      <c r="L15" s="118"/>
    </row>
    <row r="16" spans="2:12" ht="19" thickBot="1" x14ac:dyDescent="0.5">
      <c r="J16" s="71"/>
    </row>
    <row r="17" spans="2:15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540" t="s">
        <v>53</v>
      </c>
      <c r="J17" s="541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278</v>
      </c>
      <c r="D18" s="487" t="e">
        <f>VLOOKUP(C18,'Sales Master'!B$3:D$537,2,)</f>
        <v>#N/A</v>
      </c>
      <c r="E18" s="487"/>
      <c r="F18" s="487"/>
      <c r="G18" s="17">
        <v>1</v>
      </c>
      <c r="H18" s="56" t="e">
        <f>VLOOKUP(C18,'Sales Master'!$B$3:$F$2488,5,0)</f>
        <v>#N/A</v>
      </c>
      <c r="I18" s="494" t="e">
        <f>VLOOKUP(C18,'Sales Master'!$B$3:$E$2488,4,0)</f>
        <v>#N/A</v>
      </c>
      <c r="J18" s="494"/>
      <c r="K18" s="30" t="e">
        <f>VLOOKUP(C18,'Sales Master'!B$3:J$537,9,0)</f>
        <v>#N/A</v>
      </c>
      <c r="L18" s="64" t="e">
        <f t="shared" ref="L18:L27" si="0">K18*G18</f>
        <v>#N/A</v>
      </c>
      <c r="M18" s="65"/>
    </row>
    <row r="19" spans="2:15" ht="20.149999999999999" customHeight="1" x14ac:dyDescent="0.45">
      <c r="B19" s="29"/>
      <c r="C19" s="17" t="s">
        <v>283</v>
      </c>
      <c r="D19" s="487" t="e">
        <f>VLOOKUP(C19,'Sales Master'!B$3:D$537,2,)</f>
        <v>#N/A</v>
      </c>
      <c r="E19" s="487"/>
      <c r="F19" s="487"/>
      <c r="G19" s="17">
        <v>2</v>
      </c>
      <c r="H19" s="56" t="e">
        <f>VLOOKUP(C19,'Sales Master'!$B$3:$F$2488,5,0)</f>
        <v>#N/A</v>
      </c>
      <c r="I19" s="494" t="e">
        <f>VLOOKUP(C19,'Sales Master'!$B$3:$E$2488,4,0)</f>
        <v>#N/A</v>
      </c>
      <c r="J19" s="494"/>
      <c r="K19" s="30" t="e">
        <f>VLOOKUP(C19,'Sales Master'!B$3:J$537,9,0)</f>
        <v>#N/A</v>
      </c>
      <c r="L19" s="64" t="e">
        <f t="shared" si="0"/>
        <v>#N/A</v>
      </c>
      <c r="M19" s="65"/>
    </row>
    <row r="20" spans="2:15" ht="20.149999999999999" customHeight="1" x14ac:dyDescent="0.45">
      <c r="B20" s="29"/>
      <c r="C20" s="17" t="s">
        <v>284</v>
      </c>
      <c r="D20" s="487" t="e">
        <f>VLOOKUP(C20,'Sales Master'!B$3:D$537,2,)</f>
        <v>#N/A</v>
      </c>
      <c r="E20" s="487"/>
      <c r="F20" s="487"/>
      <c r="G20" s="17">
        <v>2</v>
      </c>
      <c r="H20" s="56" t="e">
        <f>VLOOKUP(C20,'Sales Master'!$B$3:$F$2488,5,0)</f>
        <v>#N/A</v>
      </c>
      <c r="I20" s="494" t="e">
        <f>VLOOKUP(C20,'Sales Master'!$B$3:$E$2488,4,0)</f>
        <v>#N/A</v>
      </c>
      <c r="J20" s="494"/>
      <c r="K20" s="30" t="e">
        <f>VLOOKUP(C20,'Sales Master'!B$3:J$537,9,0)</f>
        <v>#N/A</v>
      </c>
      <c r="L20" s="64" t="e">
        <f t="shared" si="0"/>
        <v>#N/A</v>
      </c>
      <c r="M20" s="65"/>
    </row>
    <row r="21" spans="2:15" ht="20.149999999999999" customHeight="1" x14ac:dyDescent="0.45">
      <c r="B21" s="29"/>
      <c r="C21" s="17" t="s">
        <v>286</v>
      </c>
      <c r="D21" s="487" t="e">
        <f>VLOOKUP(C21,'Sales Master'!B$3:D$537,2,)</f>
        <v>#N/A</v>
      </c>
      <c r="E21" s="487"/>
      <c r="F21" s="487"/>
      <c r="G21" s="17">
        <v>1</v>
      </c>
      <c r="H21" s="56" t="e">
        <f>VLOOKUP(C21,'Sales Master'!$B$3:$F$2488,5,0)</f>
        <v>#N/A</v>
      </c>
      <c r="I21" s="494" t="e">
        <f>VLOOKUP(C21,'Sales Master'!$B$3:$E$2488,4,0)</f>
        <v>#N/A</v>
      </c>
      <c r="J21" s="494"/>
      <c r="K21" s="30" t="e">
        <f>VLOOKUP(C21,'Sales Master'!B$3:J$537,9,0)</f>
        <v>#N/A</v>
      </c>
      <c r="L21" s="64" t="e">
        <f t="shared" si="0"/>
        <v>#N/A</v>
      </c>
      <c r="M21" s="65"/>
    </row>
    <row r="22" spans="2:15" ht="20.149999999999999" customHeight="1" x14ac:dyDescent="0.45">
      <c r="B22" s="29"/>
      <c r="C22" s="17" t="s">
        <v>298</v>
      </c>
      <c r="D22" s="487" t="e">
        <f>VLOOKUP(C22,'Sales Master'!B$3:D$537,2,)</f>
        <v>#N/A</v>
      </c>
      <c r="E22" s="487"/>
      <c r="F22" s="487"/>
      <c r="G22" s="17">
        <v>1</v>
      </c>
      <c r="H22" s="56" t="e">
        <f>VLOOKUP(C22,'Sales Master'!$B$3:$F$2488,5,0)</f>
        <v>#N/A</v>
      </c>
      <c r="I22" s="494" t="e">
        <f>VLOOKUP(C22,'Sales Master'!$B$3:$E$2488,4,0)</f>
        <v>#N/A</v>
      </c>
      <c r="J22" s="494"/>
      <c r="K22" s="30" t="e">
        <f>VLOOKUP(C22,'Sales Master'!B$3:J$537,9,0)</f>
        <v>#N/A</v>
      </c>
      <c r="L22" s="64" t="e">
        <f t="shared" si="0"/>
        <v>#N/A</v>
      </c>
      <c r="M22" s="65"/>
    </row>
    <row r="23" spans="2:15" ht="20.149999999999999" customHeight="1" x14ac:dyDescent="0.45">
      <c r="B23" s="29"/>
      <c r="C23" s="17" t="s">
        <v>302</v>
      </c>
      <c r="D23" s="487" t="e">
        <f>VLOOKUP(C23,'Sales Master'!B$3:D$537,2,)</f>
        <v>#N/A</v>
      </c>
      <c r="E23" s="487"/>
      <c r="F23" s="487"/>
      <c r="G23" s="17">
        <v>1</v>
      </c>
      <c r="H23" s="56" t="e">
        <f>VLOOKUP(C23,'Sales Master'!$B$3:$F$2488,5,0)</f>
        <v>#N/A</v>
      </c>
      <c r="I23" s="494" t="e">
        <f>VLOOKUP(C23,'Sales Master'!$B$3:$E$2488,4,0)</f>
        <v>#N/A</v>
      </c>
      <c r="J23" s="494"/>
      <c r="K23" s="30" t="e">
        <f>VLOOKUP(C23,'Sales Master'!B$3:J$537,9,0)</f>
        <v>#N/A</v>
      </c>
      <c r="L23" s="64" t="e">
        <f t="shared" si="0"/>
        <v>#N/A</v>
      </c>
      <c r="M23" s="65"/>
    </row>
    <row r="24" spans="2:15" ht="20.149999999999999" customHeight="1" x14ac:dyDescent="0.45">
      <c r="B24" s="29"/>
      <c r="C24" s="130" t="s">
        <v>295</v>
      </c>
      <c r="D24" s="487" t="e">
        <f>VLOOKUP(C24,'Sales Master'!B$3:D$537,2,)</f>
        <v>#N/A</v>
      </c>
      <c r="E24" s="487"/>
      <c r="F24" s="487"/>
      <c r="G24" s="17">
        <v>6</v>
      </c>
      <c r="H24" s="56" t="e">
        <f>VLOOKUP(C24,'Sales Master'!$B$3:$F$2488,5,0)</f>
        <v>#N/A</v>
      </c>
      <c r="I24" s="494" t="e">
        <f>VLOOKUP(C24,'Sales Master'!$B$3:$E$2488,4,0)</f>
        <v>#N/A</v>
      </c>
      <c r="J24" s="494"/>
      <c r="K24" s="30" t="e">
        <f>VLOOKUP(C24,'Sales Master'!B$3:J$537,9,0)</f>
        <v>#N/A</v>
      </c>
      <c r="L24" s="64" t="e">
        <f t="shared" si="0"/>
        <v>#N/A</v>
      </c>
      <c r="M24" s="65"/>
    </row>
    <row r="25" spans="2:15" ht="20.149999999999999" customHeight="1" x14ac:dyDescent="0.45">
      <c r="B25" s="29"/>
      <c r="C25" s="17" t="s">
        <v>296</v>
      </c>
      <c r="D25" s="487" t="e">
        <f>VLOOKUP(C25,'Sales Master'!B$3:D$537,2,)</f>
        <v>#N/A</v>
      </c>
      <c r="E25" s="487"/>
      <c r="F25" s="487"/>
      <c r="G25" s="17">
        <v>1</v>
      </c>
      <c r="H25" s="56" t="e">
        <f>VLOOKUP(C25,'Sales Master'!$B$3:$F$2488,5,0)</f>
        <v>#N/A</v>
      </c>
      <c r="I25" s="494" t="e">
        <f>VLOOKUP(C25,'Sales Master'!$B$3:$E$2488,4,0)</f>
        <v>#N/A</v>
      </c>
      <c r="J25" s="494"/>
      <c r="K25" s="30" t="e">
        <f>VLOOKUP(C25,'Sales Master'!B$3:J$537,9,0)</f>
        <v>#N/A</v>
      </c>
      <c r="L25" s="64" t="e">
        <f t="shared" si="0"/>
        <v>#N/A</v>
      </c>
      <c r="M25" s="65"/>
    </row>
    <row r="26" spans="2:15" ht="20.149999999999999" customHeight="1" x14ac:dyDescent="0.45">
      <c r="B26" s="29"/>
      <c r="C26" s="17" t="s">
        <v>323</v>
      </c>
      <c r="D26" s="487" t="e">
        <f>VLOOKUP(C26,'Sales Master'!B$3:D$537,2,)</f>
        <v>#N/A</v>
      </c>
      <c r="E26" s="487"/>
      <c r="F26" s="487"/>
      <c r="G26" s="17">
        <v>10</v>
      </c>
      <c r="H26" s="56" t="e">
        <f>VLOOKUP(C26,'Sales Master'!$B$3:$F$2488,5,0)</f>
        <v>#N/A</v>
      </c>
      <c r="I26" s="494" t="e">
        <f>VLOOKUP(C26,'Sales Master'!$B$3:$E$2488,4,0)</f>
        <v>#N/A</v>
      </c>
      <c r="J26" s="494"/>
      <c r="K26" s="30" t="e">
        <f>VLOOKUP(C26,'Sales Master'!B$3:J$537,9,0)</f>
        <v>#N/A</v>
      </c>
      <c r="L26" s="64" t="e">
        <f t="shared" si="0"/>
        <v>#N/A</v>
      </c>
      <c r="M26" s="65"/>
    </row>
    <row r="27" spans="2:15" ht="20.149999999999999" customHeight="1" x14ac:dyDescent="0.45">
      <c r="B27" s="29"/>
      <c r="C27" s="17" t="s">
        <v>325</v>
      </c>
      <c r="D27" s="487" t="e">
        <f>VLOOKUP(C27,'Sales Master'!B$3:D$537,2,)</f>
        <v>#N/A</v>
      </c>
      <c r="E27" s="487"/>
      <c r="F27" s="487"/>
      <c r="G27" s="17">
        <v>1</v>
      </c>
      <c r="H27" s="56" t="e">
        <f>VLOOKUP(C27,'Sales Master'!$B$3:$F$2488,5,0)</f>
        <v>#N/A</v>
      </c>
      <c r="I27" s="494" t="e">
        <f>VLOOKUP(C27,'Sales Master'!$B$3:$E$2488,4,0)</f>
        <v>#N/A</v>
      </c>
      <c r="J27" s="494"/>
      <c r="K27" s="30" t="e">
        <f>VLOOKUP(C27,'Sales Master'!B$3:J$537,9,0)</f>
        <v>#N/A</v>
      </c>
      <c r="L27" s="64" t="e">
        <f t="shared" si="0"/>
        <v>#N/A</v>
      </c>
      <c r="M27" s="65"/>
    </row>
    <row r="28" spans="2:15" ht="20.149999999999999" customHeight="1" x14ac:dyDescent="0.45">
      <c r="B28" s="29"/>
      <c r="C28" s="17"/>
      <c r="D28" s="487"/>
      <c r="E28" s="487"/>
      <c r="F28" s="487"/>
      <c r="G28" s="17"/>
      <c r="H28" s="56"/>
      <c r="I28" s="494"/>
      <c r="J28" s="494"/>
      <c r="K28" s="30"/>
      <c r="L28" s="64"/>
      <c r="M28" s="65"/>
    </row>
    <row r="29" spans="2:15" ht="20.149999999999999" customHeight="1" x14ac:dyDescent="0.45">
      <c r="B29" s="29"/>
      <c r="C29" s="17"/>
      <c r="D29" s="487"/>
      <c r="E29" s="487"/>
      <c r="F29" s="487"/>
      <c r="G29" s="17"/>
      <c r="H29" s="56"/>
      <c r="I29" s="494"/>
      <c r="J29" s="494"/>
      <c r="K29" s="30"/>
      <c r="L29" s="64"/>
      <c r="M29" s="65"/>
    </row>
    <row r="30" spans="2:15" ht="20.149999999999999" customHeight="1" x14ac:dyDescent="0.45">
      <c r="B30" s="29"/>
      <c r="C30" s="17"/>
      <c r="D30" s="487"/>
      <c r="E30" s="487"/>
      <c r="F30" s="487"/>
      <c r="G30" s="17"/>
      <c r="H30" s="56"/>
      <c r="I30" s="494"/>
      <c r="J30" s="494"/>
      <c r="K30" s="30"/>
      <c r="L30" s="64"/>
      <c r="M30" s="65"/>
    </row>
    <row r="31" spans="2:15" ht="20.149999999999999" customHeight="1" x14ac:dyDescent="0.45">
      <c r="B31" s="29"/>
      <c r="C31" s="17"/>
      <c r="D31" s="487"/>
      <c r="E31" s="487"/>
      <c r="F31" s="487"/>
      <c r="G31" s="17"/>
      <c r="H31" s="56"/>
      <c r="I31" s="494"/>
      <c r="J31" s="494"/>
      <c r="K31" s="30"/>
      <c r="L31" s="64"/>
      <c r="M31" s="65"/>
    </row>
    <row r="32" spans="2:15" ht="20.149999999999999" customHeight="1" x14ac:dyDescent="0.45">
      <c r="B32" s="29"/>
      <c r="C32" s="17"/>
      <c r="D32" s="487"/>
      <c r="E32" s="487"/>
      <c r="F32" s="487"/>
      <c r="G32" s="17"/>
      <c r="H32" s="56"/>
      <c r="I32" s="494"/>
      <c r="J32" s="494"/>
      <c r="K32" s="30"/>
      <c r="L32" s="64"/>
      <c r="M32" s="65"/>
    </row>
    <row r="33" spans="2:13" ht="20.149999999999999" customHeight="1" x14ac:dyDescent="0.45">
      <c r="B33" s="29"/>
      <c r="C33" s="17"/>
      <c r="D33" s="487"/>
      <c r="E33" s="487"/>
      <c r="F33" s="487"/>
      <c r="G33" s="17"/>
      <c r="H33" s="56"/>
      <c r="I33" s="494"/>
      <c r="J33" s="494"/>
      <c r="K33" s="30"/>
      <c r="L33" s="64"/>
      <c r="M33" s="65"/>
    </row>
    <row r="34" spans="2:13" ht="20.149999999999999" customHeight="1" x14ac:dyDescent="0.45">
      <c r="B34" s="29"/>
      <c r="C34" s="17"/>
      <c r="D34" s="487"/>
      <c r="E34" s="487"/>
      <c r="F34" s="487"/>
      <c r="G34" s="17"/>
      <c r="H34" s="56"/>
      <c r="I34" s="494"/>
      <c r="J34" s="494"/>
      <c r="K34" s="30"/>
      <c r="L34" s="64"/>
      <c r="M34" s="65"/>
    </row>
    <row r="35" spans="2:13" ht="20.149999999999999" customHeight="1" x14ac:dyDescent="0.45">
      <c r="B35" s="29"/>
      <c r="C35" s="17"/>
      <c r="D35" s="487"/>
      <c r="E35" s="487"/>
      <c r="F35" s="487"/>
      <c r="G35" s="17"/>
      <c r="H35" s="56"/>
      <c r="I35" s="494"/>
      <c r="J35" s="494"/>
      <c r="K35" s="30"/>
      <c r="L35" s="64"/>
      <c r="M35" s="65"/>
    </row>
    <row r="36" spans="2:13" ht="20.149999999999999" customHeight="1" x14ac:dyDescent="0.45">
      <c r="B36" s="29"/>
      <c r="C36" s="17"/>
      <c r="D36" s="487"/>
      <c r="E36" s="487"/>
      <c r="F36" s="487"/>
      <c r="G36" s="17"/>
      <c r="H36" s="56"/>
      <c r="I36" s="494"/>
      <c r="J36" s="494"/>
      <c r="K36" s="30"/>
      <c r="L36" s="64"/>
      <c r="M36" s="65"/>
    </row>
    <row r="37" spans="2:13" ht="20.149999999999999" customHeight="1" x14ac:dyDescent="0.45">
      <c r="B37" s="104"/>
      <c r="C37" s="105"/>
      <c r="D37" s="514"/>
      <c r="E37" s="514"/>
      <c r="F37" s="514"/>
      <c r="G37" s="105"/>
      <c r="H37" s="124"/>
      <c r="I37" s="539"/>
      <c r="J37" s="539"/>
      <c r="K37" s="120"/>
      <c r="L37" s="98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72"/>
      <c r="J39" s="489" t="s">
        <v>13</v>
      </c>
      <c r="K39" s="490"/>
      <c r="L39" s="38" t="e">
        <f>SUM(L17:L37)</f>
        <v>#N/A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72"/>
      <c r="J40" s="39" t="s">
        <v>20</v>
      </c>
      <c r="K40" s="40"/>
      <c r="L40" s="41" t="e">
        <f>L39*K40</f>
        <v>#N/A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72"/>
      <c r="J41" s="491" t="s">
        <v>19</v>
      </c>
      <c r="K41" s="492"/>
      <c r="L41" s="41" t="e">
        <f>L39-L40</f>
        <v>#N/A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72"/>
      <c r="J42" s="102" t="s">
        <v>15</v>
      </c>
      <c r="K42" s="103">
        <f>'Sales Master'!$B$1</f>
        <v>0.09</v>
      </c>
      <c r="L42" s="42" t="e">
        <f>L41*K42</f>
        <v>#N/A</v>
      </c>
    </row>
    <row r="43" spans="2:13" ht="20.149999999999999" customHeight="1" thickBot="1" x14ac:dyDescent="0.5">
      <c r="B43" s="10" t="s">
        <v>676</v>
      </c>
      <c r="C43" s="6"/>
      <c r="D43" s="6"/>
      <c r="E43" s="6"/>
      <c r="F43" s="6"/>
      <c r="G43" s="6"/>
      <c r="H43" s="6"/>
      <c r="I43" s="72"/>
      <c r="J43" s="485" t="s">
        <v>21</v>
      </c>
      <c r="K43" s="486"/>
      <c r="L43" s="43" t="e">
        <f>L41+L42</f>
        <v>#N/A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72"/>
      <c r="L44" s="37"/>
    </row>
    <row r="45" spans="2:13" ht="20.149999999999999" customHeight="1" x14ac:dyDescent="0.45">
      <c r="B45" s="144" t="s">
        <v>666</v>
      </c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73"/>
      <c r="K49" s="45"/>
      <c r="L49" s="46"/>
    </row>
    <row r="50" spans="2:12" ht="20.149999999999999" customHeight="1" x14ac:dyDescent="0.45">
      <c r="B50" s="36" t="s">
        <v>25</v>
      </c>
      <c r="J50" s="67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74"/>
      <c r="J51" s="74"/>
      <c r="K51" s="48"/>
      <c r="L51" s="49"/>
    </row>
  </sheetData>
  <mergeCells count="57">
    <mergeCell ref="D17:F17"/>
    <mergeCell ref="I17:J17"/>
    <mergeCell ref="D18:F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I18:J18"/>
    <mergeCell ref="B15:D15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D32:F32"/>
    <mergeCell ref="I32:J32"/>
    <mergeCell ref="D33:F33"/>
    <mergeCell ref="I33:J33"/>
    <mergeCell ref="D34:F34"/>
    <mergeCell ref="I34:J34"/>
    <mergeCell ref="J39:K39"/>
    <mergeCell ref="J41:K41"/>
    <mergeCell ref="J43:K43"/>
    <mergeCell ref="D35:F35"/>
    <mergeCell ref="I35:J35"/>
    <mergeCell ref="D36:F36"/>
    <mergeCell ref="I36:J36"/>
    <mergeCell ref="D37:F37"/>
    <mergeCell ref="I37:J37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89D14-3DB1-423B-A8DF-BDA9A51AEA6D}">
  <sheetPr codeName="Sheet71">
    <tabColor rgb="FFFFC000"/>
    <pageSetUpPr fitToPage="1"/>
  </sheetPr>
  <dimension ref="B1:N49"/>
  <sheetViews>
    <sheetView topLeftCell="A23" zoomScaleNormal="100" workbookViewId="0"/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8.81640625" style="19" customWidth="1"/>
    <col min="9" max="9" width="2.54296875" style="67" customWidth="1"/>
    <col min="10" max="10" width="15.54296875" style="67" customWidth="1"/>
    <col min="11" max="11" width="10.54296875" style="19" customWidth="1"/>
    <col min="12" max="12" width="16.08984375" style="19" customWidth="1"/>
    <col min="13" max="13" width="12.54296875" style="19"/>
    <col min="14" max="16" width="12.54296875" style="19" customWidth="1"/>
    <col min="17" max="16384" width="12.54296875" style="19"/>
  </cols>
  <sheetData>
    <row r="1" spans="2:13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3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3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3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3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3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3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3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156</v>
      </c>
      <c r="J10" s="68" t="s">
        <v>27</v>
      </c>
      <c r="K10" s="464">
        <v>202504257</v>
      </c>
      <c r="L10" s="465"/>
    </row>
    <row r="11" spans="2:13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 - Dessert                                        632, Bukit Batok Central #01-132 Singapore 650632                                                </v>
      </c>
      <c r="G11" s="470"/>
      <c r="H11" s="471"/>
      <c r="J11" s="69" t="s">
        <v>9</v>
      </c>
      <c r="K11" s="478">
        <v>45757</v>
      </c>
      <c r="L11" s="479"/>
    </row>
    <row r="12" spans="2:13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69" t="s">
        <v>127</v>
      </c>
      <c r="K12" s="482" t="s">
        <v>331</v>
      </c>
      <c r="L12" s="483"/>
    </row>
    <row r="13" spans="2:13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69" t="s">
        <v>10</v>
      </c>
      <c r="K13" s="482" t="s">
        <v>12</v>
      </c>
      <c r="L13" s="483"/>
    </row>
    <row r="14" spans="2:13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69" t="s">
        <v>28</v>
      </c>
      <c r="K14" s="482" t="s">
        <v>14</v>
      </c>
      <c r="L14" s="483"/>
    </row>
    <row r="15" spans="2:13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70" t="s">
        <v>11</v>
      </c>
      <c r="K15" s="131" t="s">
        <v>627</v>
      </c>
      <c r="L15" s="118"/>
    </row>
    <row r="16" spans="2:13" ht="19" thickBot="1" x14ac:dyDescent="0.5">
      <c r="J16" s="71"/>
      <c r="M16" s="28"/>
    </row>
    <row r="17" spans="2:14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197" t="s">
        <v>29</v>
      </c>
      <c r="I17" s="542" t="s">
        <v>53</v>
      </c>
      <c r="J17" s="543"/>
      <c r="K17" s="9" t="s">
        <v>5</v>
      </c>
      <c r="L17" s="9" t="s">
        <v>6</v>
      </c>
    </row>
    <row r="18" spans="2:14" ht="20.149999999999999" customHeight="1" x14ac:dyDescent="0.45">
      <c r="B18" s="29"/>
      <c r="C18" s="212" t="s">
        <v>703</v>
      </c>
      <c r="D18" s="493" t="str">
        <f>VLOOKUP(C18,'Sales Master'!B$3:D$537,2,)</f>
        <v>Mango Puree 芒果酱</v>
      </c>
      <c r="E18" s="493"/>
      <c r="F18" s="493"/>
      <c r="G18" s="76">
        <v>1</v>
      </c>
      <c r="H18" s="196" t="str">
        <f>VLOOKUP(C18,'Sales Master'!$B$3:$F$2488,5,0)</f>
        <v>1 KG/ Box盒</v>
      </c>
      <c r="I18" s="513" t="str">
        <f>VLOOKUP(C18,'Sales Master'!$B$3:$E$2488,4,0)</f>
        <v>DO!</v>
      </c>
      <c r="J18" s="513"/>
      <c r="K18" s="83">
        <f>VLOOKUP(C18,'Sales Master'!B$3:BX$537,75,0)</f>
        <v>7</v>
      </c>
      <c r="L18" s="64">
        <f t="shared" ref="L18" si="0">K18*G18</f>
        <v>7</v>
      </c>
      <c r="M18" s="65"/>
      <c r="N18" s="76"/>
    </row>
    <row r="19" spans="2:14" ht="20.149999999999999" customHeight="1" x14ac:dyDescent="0.45">
      <c r="B19" s="29"/>
      <c r="C19" s="212" t="s">
        <v>805</v>
      </c>
      <c r="D19" s="493" t="str">
        <f>VLOOKUP(C19,'Sales Master'!B$3:D$537,2,)</f>
        <v>Atap Seeds in Syrup 亚嗒子</v>
      </c>
      <c r="E19" s="493"/>
      <c r="F19" s="493"/>
      <c r="G19" s="76">
        <v>2</v>
      </c>
      <c r="H19" s="196" t="str">
        <f>VLOOKUP(C19,'Sales Master'!$B$3:$F$2488,5,0)</f>
        <v>NW(1.6:0.6) 2.2kg/ Bag包</v>
      </c>
      <c r="I19" s="513" t="str">
        <f>VLOOKUP(C19,'Sales Master'!$B$3:$E$2488,4,0)</f>
        <v>DO!</v>
      </c>
      <c r="J19" s="513"/>
      <c r="K19" s="83">
        <f>VLOOKUP(C19,'Sales Master'!B$3:BX$537,75,0)</f>
        <v>9.5</v>
      </c>
      <c r="L19" s="64">
        <f>K19*G19</f>
        <v>19</v>
      </c>
      <c r="M19" s="65"/>
    </row>
    <row r="20" spans="2:14" ht="20.149999999999999" customHeight="1" x14ac:dyDescent="0.45">
      <c r="B20" s="29"/>
      <c r="C20" s="212" t="s">
        <v>817</v>
      </c>
      <c r="D20" s="501" t="str">
        <f>VLOOKUP(C20,'Sales Master'!B$3:D$537,2,)</f>
        <v>Small Red Bean 小红豆</v>
      </c>
      <c r="E20" s="501"/>
      <c r="F20" s="501"/>
      <c r="G20" s="76">
        <v>3</v>
      </c>
      <c r="H20" s="196" t="str">
        <f>VLOOKUP(C20,'Sales Master'!$B$3:$F$2488,5,0)</f>
        <v>5 KG</v>
      </c>
      <c r="I20" s="513" t="str">
        <f>VLOOKUP(C20,'Sales Master'!$B$3:$E$2488,4,0)</f>
        <v>-</v>
      </c>
      <c r="J20" s="513"/>
      <c r="K20" s="83">
        <f>VLOOKUP(C20,'Sales Master'!B$3:BX$537,75,0)</f>
        <v>17.5</v>
      </c>
      <c r="L20" s="64">
        <f>K20*G20</f>
        <v>52.5</v>
      </c>
      <c r="M20" s="65"/>
    </row>
    <row r="21" spans="2:14" ht="20.149999999999999" customHeight="1" x14ac:dyDescent="0.45">
      <c r="B21" s="29"/>
      <c r="C21" s="212" t="s">
        <v>825</v>
      </c>
      <c r="D21" s="493" t="str">
        <f>VLOOKUP(C21,'Sales Master'!B$3:D$537,2,)</f>
        <v>Green Bean 绿豆</v>
      </c>
      <c r="E21" s="493"/>
      <c r="F21" s="493"/>
      <c r="G21" s="76">
        <v>2</v>
      </c>
      <c r="H21" s="196" t="str">
        <f>VLOOKUP(C21,'Sales Master'!$B$3:$F$2488,5,0)</f>
        <v>5 KG</v>
      </c>
      <c r="I21" s="513" t="str">
        <f>VLOOKUP(C21,'Sales Master'!$B$3:$E$2488,4,0)</f>
        <v>-</v>
      </c>
      <c r="J21" s="513"/>
      <c r="K21" s="83">
        <f>VLOOKUP(C21,'Sales Master'!B$3:BX$537,75,0)</f>
        <v>13</v>
      </c>
      <c r="L21" s="64">
        <f>K21*G21</f>
        <v>26</v>
      </c>
      <c r="M21" s="65"/>
    </row>
    <row r="22" spans="2:14" ht="20" customHeight="1" x14ac:dyDescent="0.45">
      <c r="B22" s="29"/>
      <c r="C22" s="212" t="s">
        <v>837</v>
      </c>
      <c r="D22" s="493" t="str">
        <f>VLOOKUP(C22,'Sales Master'!B$3:D$537,2,)</f>
        <v>Black Glutinous Rice 黑糯米</v>
      </c>
      <c r="E22" s="493"/>
      <c r="F22" s="493"/>
      <c r="G22" s="76">
        <v>1</v>
      </c>
      <c r="H22" s="196" t="str">
        <f>VLOOKUP(C22,'Sales Master'!$B$3:$F$2488,5,0)</f>
        <v>5 KGS</v>
      </c>
      <c r="I22" s="513" t="str">
        <f>VLOOKUP(C22,'Sales Master'!$B$3:$E$2488,4,0)</f>
        <v>-</v>
      </c>
      <c r="J22" s="513"/>
      <c r="K22" s="83">
        <f>VLOOKUP(C22,'Sales Master'!B$3:BX$537,75,0)</f>
        <v>18</v>
      </c>
      <c r="L22" s="64">
        <f>K22*G22</f>
        <v>18</v>
      </c>
      <c r="M22" s="65"/>
    </row>
    <row r="23" spans="2:14" ht="20.149999999999999" customHeight="1" x14ac:dyDescent="0.45">
      <c r="B23" s="29"/>
      <c r="C23" s="212" t="s">
        <v>844</v>
      </c>
      <c r="D23" s="493" t="str">
        <f>VLOOKUP(C23,'Sales Master'!B$3:D$537,2,)</f>
        <v>White Wheat 大麦</v>
      </c>
      <c r="E23" s="493"/>
      <c r="F23" s="493"/>
      <c r="G23" s="76">
        <v>1</v>
      </c>
      <c r="H23" s="196" t="str">
        <f>VLOOKUP(C23,'Sales Master'!$B$3:$F$2488,5,0)</f>
        <v>10 PKT/ Bag</v>
      </c>
      <c r="I23" s="513" t="str">
        <f>VLOOKUP(C23,'Sales Master'!$B$3:$E$2488,4,0)</f>
        <v>-</v>
      </c>
      <c r="J23" s="513"/>
      <c r="K23" s="83">
        <f>VLOOKUP(C23,'Sales Master'!B$3:BX$537,75,0)</f>
        <v>9.5</v>
      </c>
      <c r="L23" s="64">
        <f>K23*G23</f>
        <v>9.5</v>
      </c>
      <c r="M23" s="65"/>
    </row>
    <row r="24" spans="2:14" ht="20.149999999999999" customHeight="1" x14ac:dyDescent="0.45">
      <c r="B24" s="29"/>
      <c r="C24" s="212" t="s">
        <v>862</v>
      </c>
      <c r="D24" s="493" t="str">
        <f>VLOOKUP(C24,'Sales Master'!B$3:D$537,2,)</f>
        <v>Fungus黄 木耳朵</v>
      </c>
      <c r="E24" s="493"/>
      <c r="F24" s="493"/>
      <c r="G24" s="76">
        <v>1</v>
      </c>
      <c r="H24" s="196" t="str">
        <f>VLOOKUP(C24,'Sales Master'!$B$3:$F$2488,5,0)</f>
        <v>1 kg</v>
      </c>
      <c r="I24" s="513" t="str">
        <f>VLOOKUP(C24,'Sales Master'!$B$3:$E$2488,4,0)</f>
        <v>黄</v>
      </c>
      <c r="J24" s="513"/>
      <c r="K24" s="83">
        <f>VLOOKUP(C24,'Sales Master'!B$3:BX$537,75,0)</f>
        <v>16</v>
      </c>
      <c r="L24" s="64">
        <f t="shared" ref="L24" si="1">K24*G24</f>
        <v>16</v>
      </c>
      <c r="M24" s="65"/>
    </row>
    <row r="25" spans="2:14" ht="20.149999999999999" customHeight="1" x14ac:dyDescent="0.45">
      <c r="B25" s="29"/>
      <c r="C25" s="212" t="s">
        <v>987</v>
      </c>
      <c r="D25" s="493" t="str">
        <f>VLOOKUP(C25,'Sales Master'!B$3:D$537,2,)</f>
        <v>Brown Sugar 黑糖</v>
      </c>
      <c r="E25" s="493"/>
      <c r="F25" s="493"/>
      <c r="G25" s="76">
        <v>1</v>
      </c>
      <c r="H25" s="196" t="str">
        <f>VLOOKUP(C25,'Sales Master'!$B$3:$F$2488,5,0)</f>
        <v>6 KG</v>
      </c>
      <c r="I25" s="513" t="str">
        <f>VLOOKUP(C25,'Sales Master'!$B$3:$E$2488,4,0)</f>
        <v>Star</v>
      </c>
      <c r="J25" s="513"/>
      <c r="K25" s="83">
        <f>VLOOKUP(C25,'Sales Master'!B$3:BX$537,75,0)</f>
        <v>15</v>
      </c>
      <c r="L25" s="64">
        <f t="shared" ref="L25" si="2">K25*G25</f>
        <v>15</v>
      </c>
      <c r="M25" s="65"/>
    </row>
    <row r="26" spans="2:14" ht="20" customHeight="1" x14ac:dyDescent="0.45">
      <c r="B26" s="29"/>
      <c r="C26" s="212" t="s">
        <v>1009</v>
      </c>
      <c r="D26" s="493" t="str">
        <f>VLOOKUP(C26,'Sales Master'!B$3:D$537,2,)</f>
        <v>Pandan Leaf 班兰叶</v>
      </c>
      <c r="E26" s="493"/>
      <c r="F26" s="493"/>
      <c r="G26" s="76">
        <v>5</v>
      </c>
      <c r="H26" s="196" t="str">
        <f>VLOOKUP(C26,'Sales Master'!$B$3:$F$2488,5,0)</f>
        <v>1 KG</v>
      </c>
      <c r="I26" s="513" t="str">
        <f>VLOOKUP(C26,'Sales Master'!$B$3:$E$2488,4,0)</f>
        <v>-</v>
      </c>
      <c r="J26" s="513"/>
      <c r="K26" s="83">
        <f>VLOOKUP(C26,'Sales Master'!B$3:BX$537,75,0)</f>
        <v>1.8</v>
      </c>
      <c r="L26" s="64">
        <f>K26*G26</f>
        <v>9</v>
      </c>
      <c r="M26" s="65"/>
    </row>
    <row r="27" spans="2:14" ht="20" customHeight="1" x14ac:dyDescent="0.45">
      <c r="B27" s="29"/>
      <c r="C27" s="212"/>
      <c r="D27" s="493"/>
      <c r="E27" s="493"/>
      <c r="F27" s="493"/>
      <c r="G27" s="76"/>
      <c r="H27" s="196"/>
      <c r="I27" s="513"/>
      <c r="J27" s="513"/>
      <c r="K27" s="83"/>
      <c r="L27" s="64"/>
      <c r="M27" s="65"/>
    </row>
    <row r="28" spans="2:14" ht="20.149999999999999" customHeight="1" x14ac:dyDescent="0.45">
      <c r="B28" s="29"/>
      <c r="C28" s="212"/>
      <c r="D28" s="493"/>
      <c r="E28" s="493"/>
      <c r="F28" s="493"/>
      <c r="G28" s="76"/>
      <c r="H28" s="196"/>
      <c r="I28" s="513"/>
      <c r="J28" s="513"/>
      <c r="K28" s="83"/>
      <c r="L28" s="64"/>
      <c r="M28" s="65"/>
    </row>
    <row r="29" spans="2:14" ht="20.149999999999999" customHeight="1" x14ac:dyDescent="0.45">
      <c r="B29" s="29"/>
      <c r="C29" s="212"/>
      <c r="D29" s="493"/>
      <c r="E29" s="493"/>
      <c r="F29" s="493"/>
      <c r="G29" s="76"/>
      <c r="H29" s="196"/>
      <c r="I29" s="513"/>
      <c r="J29" s="513"/>
      <c r="K29" s="83"/>
      <c r="L29" s="64"/>
      <c r="M29" s="65"/>
    </row>
    <row r="30" spans="2:14" ht="20.149999999999999" customHeight="1" x14ac:dyDescent="0.45">
      <c r="B30" s="29"/>
      <c r="C30" s="212"/>
      <c r="D30" s="501"/>
      <c r="E30" s="501"/>
      <c r="F30" s="501"/>
      <c r="G30" s="76"/>
      <c r="H30" s="196"/>
      <c r="I30" s="513"/>
      <c r="J30" s="513"/>
      <c r="K30" s="83"/>
      <c r="L30" s="64"/>
      <c r="M30" s="65"/>
    </row>
    <row r="31" spans="2:14" ht="20" customHeight="1" x14ac:dyDescent="0.45">
      <c r="B31" s="29"/>
      <c r="C31" s="149" t="s">
        <v>2146</v>
      </c>
      <c r="D31" s="403"/>
      <c r="E31" s="403"/>
      <c r="F31" s="403"/>
      <c r="G31" s="76"/>
      <c r="H31" s="186"/>
      <c r="I31" s="484"/>
      <c r="J31" s="484"/>
      <c r="K31" s="190"/>
      <c r="L31" s="64"/>
      <c r="M31" s="65"/>
    </row>
    <row r="32" spans="2:14" ht="20" customHeight="1" x14ac:dyDescent="0.45">
      <c r="B32" s="29"/>
      <c r="C32" s="212" t="s">
        <v>966</v>
      </c>
      <c r="D32" s="493" t="str">
        <f>VLOOKUP(C32,'Sales Master'!B$3:D$537,2,)</f>
        <v>Coconut Milk 椰浆</v>
      </c>
      <c r="E32" s="493"/>
      <c r="F32" s="493"/>
      <c r="G32" s="17">
        <v>1</v>
      </c>
      <c r="H32" s="196" t="str">
        <f>VLOOKUP(C32,'Sales Master'!$B$3:$F$2488,5,0)</f>
        <v>(1L x 12bag)/箱</v>
      </c>
      <c r="I32" s="513" t="str">
        <f>VLOOKUP(C32,'Sales Master'!$B$3:$E$2488,4,0)</f>
        <v>Kara UHT</v>
      </c>
      <c r="J32" s="513"/>
      <c r="K32" s="190">
        <v>54</v>
      </c>
      <c r="L32" s="64"/>
      <c r="M32" s="65"/>
    </row>
    <row r="33" spans="2:13" ht="20" customHeight="1" x14ac:dyDescent="0.45">
      <c r="B33" s="29"/>
      <c r="C33" s="212"/>
      <c r="D33" s="147"/>
      <c r="E33" s="147"/>
      <c r="F33" s="147"/>
      <c r="G33" s="76"/>
      <c r="H33" s="196"/>
      <c r="I33" s="209"/>
      <c r="J33" s="209"/>
      <c r="K33" s="83"/>
      <c r="L33" s="64"/>
      <c r="M33" s="65"/>
    </row>
    <row r="34" spans="2:13" ht="20.149999999999999" customHeight="1" thickBot="1" x14ac:dyDescent="0.5">
      <c r="B34" s="32"/>
      <c r="C34" s="33"/>
      <c r="D34" s="166"/>
      <c r="E34" s="166"/>
      <c r="F34" s="166"/>
      <c r="G34" s="167"/>
      <c r="H34" s="168"/>
      <c r="I34" s="168"/>
      <c r="J34" s="168"/>
      <c r="K34" s="169"/>
      <c r="L34" s="75"/>
    </row>
    <row r="35" spans="2:13" ht="20" customHeight="1" thickBot="1" x14ac:dyDescent="0.5">
      <c r="B35" s="36"/>
      <c r="L35" s="37"/>
    </row>
    <row r="36" spans="2:13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72"/>
      <c r="J36" s="489" t="s">
        <v>13</v>
      </c>
      <c r="K36" s="490"/>
      <c r="L36" s="38">
        <f>SUM(L18:L35)</f>
        <v>172</v>
      </c>
      <c r="M36" s="63">
        <f>SUM(P18:P35)-L36*0.02</f>
        <v>-3.44</v>
      </c>
    </row>
    <row r="37" spans="2:13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72"/>
      <c r="J37" s="39" t="s">
        <v>20</v>
      </c>
      <c r="K37" s="40"/>
      <c r="L37" s="41">
        <f>L36*K37</f>
        <v>0</v>
      </c>
    </row>
    <row r="38" spans="2:13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72"/>
      <c r="J38" s="491" t="s">
        <v>19</v>
      </c>
      <c r="K38" s="492"/>
      <c r="L38" s="41">
        <f>L36-L37</f>
        <v>172</v>
      </c>
    </row>
    <row r="39" spans="2:13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72"/>
      <c r="J39" s="102" t="s">
        <v>15</v>
      </c>
      <c r="K39" s="103">
        <f>'Sales Master'!$B$1</f>
        <v>0.09</v>
      </c>
      <c r="L39" s="42">
        <f>L38*K39</f>
        <v>15.479999999999999</v>
      </c>
    </row>
    <row r="40" spans="2:13" ht="20.149999999999999" customHeight="1" thickBot="1" x14ac:dyDescent="0.5">
      <c r="B40" s="10" t="s">
        <v>676</v>
      </c>
      <c r="C40" s="6" t="s">
        <v>1149</v>
      </c>
      <c r="D40" s="6"/>
      <c r="E40" s="6"/>
      <c r="F40" s="6"/>
      <c r="G40" s="6"/>
      <c r="H40" s="6"/>
      <c r="I40" s="72"/>
      <c r="J40" s="485" t="s">
        <v>21</v>
      </c>
      <c r="K40" s="486"/>
      <c r="L40" s="43">
        <f>L38+L39</f>
        <v>187.48</v>
      </c>
    </row>
    <row r="41" spans="2:13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72"/>
      <c r="L41" s="37"/>
    </row>
    <row r="42" spans="2:13" ht="20.149999999999999" customHeight="1" x14ac:dyDescent="0.45">
      <c r="B42" s="144" t="s">
        <v>666</v>
      </c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44"/>
      <c r="C46" s="45"/>
      <c r="D46" s="45"/>
      <c r="J46" s="73"/>
      <c r="K46" s="45"/>
      <c r="L46" s="46"/>
    </row>
    <row r="47" spans="2:13" ht="20.149999999999999" customHeight="1" x14ac:dyDescent="0.45">
      <c r="B47" s="36" t="s">
        <v>25</v>
      </c>
      <c r="J47" s="67" t="s">
        <v>26</v>
      </c>
      <c r="L47" s="37"/>
    </row>
    <row r="48" spans="2:13" ht="19" thickBot="1" x14ac:dyDescent="0.5">
      <c r="B48" s="47"/>
      <c r="C48" s="48"/>
      <c r="D48" s="48"/>
      <c r="E48" s="48"/>
      <c r="F48" s="48"/>
      <c r="G48" s="48"/>
      <c r="H48" s="48"/>
      <c r="I48" s="74"/>
      <c r="J48" s="74"/>
      <c r="K48" s="48"/>
      <c r="L48" s="49"/>
    </row>
    <row r="49" spans="6:6" ht="20.5" x14ac:dyDescent="0.45">
      <c r="F49" s="202"/>
    </row>
  </sheetData>
  <mergeCells count="46">
    <mergeCell ref="D32:F32"/>
    <mergeCell ref="I32:J32"/>
    <mergeCell ref="I19:J19"/>
    <mergeCell ref="D21:F21"/>
    <mergeCell ref="D28:F28"/>
    <mergeCell ref="I28:J28"/>
    <mergeCell ref="D29:F29"/>
    <mergeCell ref="D30:F30"/>
    <mergeCell ref="D18:F18"/>
    <mergeCell ref="I18:J18"/>
    <mergeCell ref="D25:F25"/>
    <mergeCell ref="I25:J25"/>
    <mergeCell ref="D27:F27"/>
    <mergeCell ref="D24:F24"/>
    <mergeCell ref="D23:F23"/>
    <mergeCell ref="D26:F26"/>
    <mergeCell ref="D19:F19"/>
    <mergeCell ref="D20:F20"/>
    <mergeCell ref="I22:J22"/>
    <mergeCell ref="I20:J20"/>
    <mergeCell ref="D22:F22"/>
    <mergeCell ref="B1:L8"/>
    <mergeCell ref="D17:F17"/>
    <mergeCell ref="I17:J17"/>
    <mergeCell ref="K10:L10"/>
    <mergeCell ref="B11:D11"/>
    <mergeCell ref="F11:H15"/>
    <mergeCell ref="K14:L14"/>
    <mergeCell ref="K11:L11"/>
    <mergeCell ref="B12:D12"/>
    <mergeCell ref="K12:L12"/>
    <mergeCell ref="B13:D13"/>
    <mergeCell ref="K13:L13"/>
    <mergeCell ref="B14:D14"/>
    <mergeCell ref="B15:D15"/>
    <mergeCell ref="J40:K40"/>
    <mergeCell ref="J36:K36"/>
    <mergeCell ref="J38:K38"/>
    <mergeCell ref="I26:J26"/>
    <mergeCell ref="I21:J21"/>
    <mergeCell ref="I27:J27"/>
    <mergeCell ref="I30:J30"/>
    <mergeCell ref="I24:J24"/>
    <mergeCell ref="I23:J23"/>
    <mergeCell ref="I29:J29"/>
    <mergeCell ref="I31:J31"/>
  </mergeCells>
  <conditionalFormatting sqref="C31">
    <cfRule type="duplicateValues" dxfId="233" priority="1"/>
  </conditionalFormatting>
  <pageMargins left="0.70866141732283472" right="0.31496062992125984" top="0.23622047244094491" bottom="0.23622047244094491" header="0.31496062992125984" footer="0.31496062992125984"/>
  <pageSetup paperSize="9" scale="72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B940A-760D-4154-912B-EA3D80773767}">
  <sheetPr codeName="Sheet104">
    <tabColor rgb="FFFFC000"/>
    <pageSetUpPr fitToPage="1"/>
  </sheetPr>
  <dimension ref="B1:P43"/>
  <sheetViews>
    <sheetView topLeftCell="B26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179687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157</v>
      </c>
      <c r="J10" s="68" t="s">
        <v>27</v>
      </c>
      <c r="K10" s="464">
        <v>202504233</v>
      </c>
      <c r="L10" s="465"/>
    </row>
    <row r="11" spans="2:14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 - Drink                                                  1, Bukit Batok Central Link.                   #04-01 West Mall, Singapore 658713                                                            </v>
      </c>
      <c r="G11" s="470"/>
      <c r="H11" s="471"/>
      <c r="J11" s="69" t="s">
        <v>9</v>
      </c>
      <c r="K11" s="478">
        <v>45756</v>
      </c>
      <c r="L11" s="479"/>
    </row>
    <row r="12" spans="2:14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69" t="s">
        <v>127</v>
      </c>
      <c r="K12" s="482" t="s">
        <v>331</v>
      </c>
      <c r="L12" s="483"/>
    </row>
    <row r="13" spans="2:14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69" t="s">
        <v>10</v>
      </c>
      <c r="K13" s="482" t="s">
        <v>12</v>
      </c>
      <c r="L13" s="483"/>
      <c r="N13" s="19" t="s">
        <v>937</v>
      </c>
    </row>
    <row r="14" spans="2:14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69" t="s">
        <v>28</v>
      </c>
      <c r="K14" s="482" t="s">
        <v>14</v>
      </c>
      <c r="L14" s="483"/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70" t="s">
        <v>11</v>
      </c>
      <c r="K15" s="495"/>
      <c r="L15" s="496"/>
    </row>
    <row r="16" spans="2:14" ht="19" thickBot="1" x14ac:dyDescent="0.5">
      <c r="J16" s="71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6" ht="20.149999999999999" customHeight="1" x14ac:dyDescent="0.45">
      <c r="B18" s="29"/>
      <c r="C18" s="212" t="s">
        <v>846</v>
      </c>
      <c r="D18" s="487" t="str">
        <f>VLOOKUP(C18,'Sales Master'!B$3:D$537,2,)</f>
        <v>Pearl Barley 薏米</v>
      </c>
      <c r="E18" s="487"/>
      <c r="F18" s="487"/>
      <c r="G18" s="17">
        <v>1</v>
      </c>
      <c r="H18" s="186" t="str">
        <f>VLOOKUP(C18,'Sales Master'!$B$3:$F$2420,5,0)</f>
        <v>5 KG</v>
      </c>
      <c r="I18" s="484" t="str">
        <f>VLOOKUP(C18,'Sales Master'!$B$3:$F$2420,4,0)</f>
        <v>-</v>
      </c>
      <c r="J18" s="484"/>
      <c r="K18" s="30">
        <f>VLOOKUP(C18,'Sales Master'!B$3:J$537,9,0)</f>
        <v>10</v>
      </c>
      <c r="L18" s="64">
        <f>K18*G18</f>
        <v>10</v>
      </c>
      <c r="M18" s="65"/>
    </row>
    <row r="19" spans="2:16" ht="20.149999999999999" customHeight="1" x14ac:dyDescent="0.45">
      <c r="B19" s="29"/>
      <c r="C19" s="212" t="s">
        <v>929</v>
      </c>
      <c r="D19" s="487" t="str">
        <f>VLOOKUP(C19,'Sales Master'!B$3:D$537,2,)</f>
        <v>Aloe Vera 芦荟 10mm</v>
      </c>
      <c r="E19" s="487"/>
      <c r="F19" s="487"/>
      <c r="G19" s="17">
        <v>1</v>
      </c>
      <c r="H19" s="186" t="str">
        <f>VLOOKUP(C19,'Sales Master'!$B$3:$F$2420,5,0)</f>
        <v>1 Can X A10</v>
      </c>
      <c r="I19" s="484" t="str">
        <f>VLOOKUP(C19,'Sales Master'!$B$3:$F$2420,4,0)</f>
        <v>Chefs</v>
      </c>
      <c r="J19" s="484"/>
      <c r="K19" s="30">
        <f>VLOOKUP(C19,'Sales Master'!B$3:J$537,9,0)</f>
        <v>10</v>
      </c>
      <c r="L19" s="64">
        <f>K19*G19</f>
        <v>10</v>
      </c>
      <c r="M19" s="65"/>
    </row>
    <row r="20" spans="2:16" ht="20.149999999999999" customHeight="1" x14ac:dyDescent="0.45">
      <c r="B20" s="29"/>
      <c r="C20" s="212" t="s">
        <v>2174</v>
      </c>
      <c r="D20" s="487" t="str">
        <f>VLOOKUP(C20,'Sales Master'!B$3:D$537,2,)</f>
        <v>Lychee in Syrup 荔枝</v>
      </c>
      <c r="E20" s="487"/>
      <c r="F20" s="487"/>
      <c r="G20" s="17">
        <v>1</v>
      </c>
      <c r="H20" s="186" t="str">
        <f>VLOOKUP(C20,'Sales Master'!$B$3:$F$2420,5,0)</f>
        <v>(567gm x 12)/ Ctn箱</v>
      </c>
      <c r="I20" s="484" t="str">
        <f>VLOOKUP(C20,'Sales Master'!$B$3:$F$2420,4,0)</f>
        <v>GoldenBoy</v>
      </c>
      <c r="J20" s="484"/>
      <c r="K20" s="30">
        <f>VLOOKUP(C20,'Sales Master'!B$3:J$537,9,0)</f>
        <v>22</v>
      </c>
      <c r="L20" s="64">
        <f>K20*G20</f>
        <v>22</v>
      </c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87"/>
      <c r="E21" s="487"/>
      <c r="F21" s="487"/>
      <c r="G21" s="17"/>
      <c r="H21" s="186"/>
      <c r="I21" s="484"/>
      <c r="J21" s="484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G22" s="17"/>
      <c r="H22" s="56"/>
      <c r="I22" s="56"/>
      <c r="J22" s="56"/>
      <c r="K22" s="30"/>
      <c r="L22" s="64"/>
    </row>
    <row r="23" spans="2:16" ht="20.149999999999999" customHeight="1" x14ac:dyDescent="0.45">
      <c r="B23" s="29"/>
      <c r="C23" s="17"/>
      <c r="G23" s="17"/>
      <c r="H23" s="56"/>
      <c r="I23" s="56"/>
      <c r="J23" s="56"/>
      <c r="K23" s="30"/>
      <c r="L23" s="64"/>
    </row>
    <row r="24" spans="2:16" ht="20.149999999999999" customHeight="1" x14ac:dyDescent="0.45">
      <c r="B24" s="29"/>
      <c r="C24" s="17"/>
      <c r="D24" s="487"/>
      <c r="E24" s="487"/>
      <c r="F24" s="487"/>
      <c r="G24" s="17"/>
      <c r="H24" s="56"/>
      <c r="I24" s="494"/>
      <c r="J24" s="494"/>
      <c r="K24" s="30"/>
      <c r="L24" s="64"/>
    </row>
    <row r="25" spans="2:16" ht="20.149999999999999" customHeight="1" x14ac:dyDescent="0.45">
      <c r="B25" s="29"/>
      <c r="C25" s="17"/>
      <c r="D25" s="487"/>
      <c r="E25" s="487"/>
      <c r="F25" s="487"/>
      <c r="G25" s="17"/>
      <c r="H25" s="56"/>
      <c r="I25" s="494"/>
      <c r="J25" s="494"/>
      <c r="K25" s="30"/>
      <c r="L25" s="64"/>
    </row>
    <row r="26" spans="2:16" ht="20.149999999999999" customHeight="1" x14ac:dyDescent="0.45">
      <c r="B26" s="29"/>
      <c r="C26" s="17"/>
      <c r="D26" s="487"/>
      <c r="E26" s="487"/>
      <c r="F26" s="487"/>
      <c r="G26" s="17"/>
      <c r="H26" s="56"/>
      <c r="I26" s="494"/>
      <c r="J26" s="494"/>
      <c r="K26" s="30"/>
      <c r="L26" s="64"/>
    </row>
    <row r="27" spans="2:16" ht="20.149999999999999" customHeight="1" x14ac:dyDescent="0.45">
      <c r="B27" s="29"/>
      <c r="C27" s="17"/>
      <c r="D27" s="487"/>
      <c r="E27" s="487"/>
      <c r="F27" s="487"/>
      <c r="G27" s="17"/>
      <c r="H27" s="56"/>
      <c r="I27" s="494"/>
      <c r="J27" s="494"/>
      <c r="K27" s="30"/>
      <c r="L27" s="64"/>
    </row>
    <row r="28" spans="2:16" ht="20.149999999999999" customHeight="1" x14ac:dyDescent="0.45">
      <c r="B28" s="29"/>
      <c r="C28" s="17"/>
      <c r="D28" s="487"/>
      <c r="E28" s="487"/>
      <c r="F28" s="487"/>
      <c r="G28" s="17"/>
      <c r="H28" s="56"/>
      <c r="I28" s="494"/>
      <c r="J28" s="494"/>
      <c r="K28" s="30"/>
      <c r="L28" s="64"/>
    </row>
    <row r="29" spans="2:16" ht="20.149999999999999" customHeight="1" thickBot="1" x14ac:dyDescent="0.5">
      <c r="B29" s="32"/>
      <c r="C29" s="33"/>
      <c r="D29" s="488"/>
      <c r="E29" s="488"/>
      <c r="F29" s="488"/>
      <c r="G29" s="33"/>
      <c r="H29" s="57"/>
      <c r="I29" s="528"/>
      <c r="J29" s="528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72"/>
      <c r="J31" s="489" t="s">
        <v>13</v>
      </c>
      <c r="K31" s="490"/>
      <c r="L31" s="38">
        <f>SUM(L18:L29)</f>
        <v>42</v>
      </c>
      <c r="M31" s="63">
        <f>SUM(P18:P28)-L31*0.02</f>
        <v>-0.84</v>
      </c>
      <c r="N31" s="133">
        <f>M31/L31</f>
        <v>-0.02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72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72"/>
      <c r="J33" s="491" t="s">
        <v>19</v>
      </c>
      <c r="K33" s="492"/>
      <c r="L33" s="41">
        <f>L31-L32</f>
        <v>42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72"/>
      <c r="J34" s="102" t="s">
        <v>15</v>
      </c>
      <c r="K34" s="103">
        <f>'Sales Master'!$B$1</f>
        <v>0.09</v>
      </c>
      <c r="L34" s="42">
        <f>L33*K34</f>
        <v>3.78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72"/>
      <c r="J35" s="485" t="s">
        <v>21</v>
      </c>
      <c r="K35" s="486"/>
      <c r="L35" s="43">
        <f>L33+L34</f>
        <v>45.78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72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73"/>
      <c r="K41" s="45"/>
      <c r="L41" s="46"/>
    </row>
    <row r="42" spans="2:12" ht="20.149999999999999" customHeight="1" x14ac:dyDescent="0.45">
      <c r="B42" s="36" t="s">
        <v>25</v>
      </c>
      <c r="J42" s="67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74"/>
      <c r="J43" s="74"/>
      <c r="K43" s="48"/>
      <c r="L43" s="49"/>
    </row>
  </sheetData>
  <mergeCells count="38">
    <mergeCell ref="D25:F25"/>
    <mergeCell ref="D26:F26"/>
    <mergeCell ref="D27:F27"/>
    <mergeCell ref="D28:F28"/>
    <mergeCell ref="I24:J24"/>
    <mergeCell ref="I25:J25"/>
    <mergeCell ref="I26:J26"/>
    <mergeCell ref="J35:K35"/>
    <mergeCell ref="J31:K31"/>
    <mergeCell ref="J33:K33"/>
    <mergeCell ref="D18:F18"/>
    <mergeCell ref="I18:J18"/>
    <mergeCell ref="D20:F20"/>
    <mergeCell ref="I20:J20"/>
    <mergeCell ref="D19:F19"/>
    <mergeCell ref="I19:J19"/>
    <mergeCell ref="D21:F21"/>
    <mergeCell ref="I21:J21"/>
    <mergeCell ref="I27:J27"/>
    <mergeCell ref="I28:J28"/>
    <mergeCell ref="I29:J29"/>
    <mergeCell ref="D29:F29"/>
    <mergeCell ref="D24:F24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23622047244094491" bottom="0.23622047244094491" header="0.31496062992125984" footer="0.31496062992125984"/>
  <pageSetup paperSize="9" scale="76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D8AD1-8398-4961-9F7C-2EEA0EC7A763}">
  <sheetPr codeName="Sheet105">
    <tabColor rgb="FFFFC000"/>
    <pageSetUpPr fitToPage="1"/>
  </sheetPr>
  <dimension ref="B1:O45"/>
  <sheetViews>
    <sheetView topLeftCell="A18" zoomScaleNormal="100" workbookViewId="0">
      <selection activeCell="D22" sqref="D22:F22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7.1796875" style="19" customWidth="1"/>
    <col min="7" max="7" width="8.54296875" style="19" customWidth="1"/>
    <col min="8" max="8" width="17.54296875" style="19" customWidth="1"/>
    <col min="9" max="9" width="2.1796875" style="67" customWidth="1"/>
    <col min="10" max="10" width="15.54296875" style="67" customWidth="1"/>
    <col min="11" max="11" width="10.54296875" style="19" customWidth="1"/>
    <col min="12" max="12" width="14.54296875" style="19" customWidth="1"/>
    <col min="13" max="16384" width="12.54296875" style="19"/>
  </cols>
  <sheetData>
    <row r="1" spans="2:15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5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5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  <c r="N3" s="19" t="s">
        <v>862</v>
      </c>
      <c r="O3" s="19" t="s">
        <v>529</v>
      </c>
    </row>
    <row r="4" spans="2:15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  <c r="N4" s="19" t="s">
        <v>956</v>
      </c>
      <c r="O4" s="19" t="s">
        <v>1440</v>
      </c>
    </row>
    <row r="5" spans="2:15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  <c r="N5" s="19" t="s">
        <v>880</v>
      </c>
      <c r="O5" s="19" t="s">
        <v>387</v>
      </c>
    </row>
    <row r="6" spans="2:15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5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5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  <c r="N8" s="19" t="s">
        <v>1153</v>
      </c>
      <c r="O8" s="19" t="s">
        <v>1443</v>
      </c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158</v>
      </c>
      <c r="J10" s="68" t="s">
        <v>27</v>
      </c>
      <c r="K10" s="464">
        <v>202504259</v>
      </c>
      <c r="L10" s="465"/>
    </row>
    <row r="11" spans="2:15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 - Dessert                                             1, Bukit Batok Central Link.                     #04-01 West Mall, Singapore 658713                                                          </v>
      </c>
      <c r="G11" s="470"/>
      <c r="H11" s="471"/>
      <c r="J11" s="69" t="s">
        <v>9</v>
      </c>
      <c r="K11" s="478">
        <v>45757</v>
      </c>
      <c r="L11" s="479"/>
    </row>
    <row r="12" spans="2:15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69" t="s">
        <v>127</v>
      </c>
      <c r="K12" s="482" t="s">
        <v>331</v>
      </c>
      <c r="L12" s="483"/>
    </row>
    <row r="13" spans="2:15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69" t="s">
        <v>10</v>
      </c>
      <c r="K13" s="482" t="s">
        <v>12</v>
      </c>
      <c r="L13" s="483"/>
      <c r="N13" s="19" t="s">
        <v>966</v>
      </c>
      <c r="O13" s="19" t="s">
        <v>246</v>
      </c>
    </row>
    <row r="14" spans="2:15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69" t="s">
        <v>28</v>
      </c>
      <c r="K14" s="482" t="s">
        <v>14</v>
      </c>
      <c r="L14" s="483"/>
    </row>
    <row r="15" spans="2:15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70" t="s">
        <v>11</v>
      </c>
      <c r="K15" s="495"/>
      <c r="L15" s="496"/>
      <c r="N15" s="19" t="s">
        <v>844</v>
      </c>
      <c r="O15" s="19" t="s">
        <v>229</v>
      </c>
    </row>
    <row r="16" spans="2:15" ht="19" thickBot="1" x14ac:dyDescent="0.5">
      <c r="J16" s="71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" customHeight="1" x14ac:dyDescent="0.45">
      <c r="B18" s="29"/>
      <c r="C18" s="356" t="s">
        <v>712</v>
      </c>
      <c r="D18" s="487" t="str">
        <f>VLOOKUP(C18,'Sales Master'!B$3:D$537,2,)</f>
        <v>Bobo ChaCha Cubes 摩摩喳喳</v>
      </c>
      <c r="E18" s="487"/>
      <c r="F18" s="487"/>
      <c r="G18" s="357">
        <v>5</v>
      </c>
      <c r="H18" s="358" t="str">
        <f>VLOOKUP(C18,'Sales Master'!$B$3:$F$2464,5,0)</f>
        <v>800 GM/ Bag包</v>
      </c>
      <c r="I18" s="544" t="str">
        <f>VLOOKUP(C18,'Sales Master'!$B$3:$E$2464,4,0)</f>
        <v>DO!</v>
      </c>
      <c r="J18" s="544"/>
      <c r="K18" s="359">
        <f>VLOOKUP(C18,'Sales Master'!B$3:AV$537,47,0)</f>
        <v>6</v>
      </c>
      <c r="L18" s="360">
        <f t="shared" ref="L18" si="0">K18*G18</f>
        <v>30</v>
      </c>
      <c r="M18" s="361"/>
    </row>
    <row r="19" spans="2:13" ht="20" customHeight="1" x14ac:dyDescent="0.45">
      <c r="B19" s="29"/>
      <c r="C19" s="356"/>
      <c r="D19" s="487"/>
      <c r="E19" s="487"/>
      <c r="F19" s="487"/>
      <c r="G19" s="357"/>
      <c r="H19" s="358"/>
      <c r="I19" s="544"/>
      <c r="J19" s="544"/>
      <c r="K19" s="359"/>
      <c r="L19" s="360"/>
      <c r="M19" s="361"/>
    </row>
    <row r="20" spans="2:13" ht="20" customHeight="1" x14ac:dyDescent="0.45">
      <c r="B20" s="29"/>
      <c r="C20" s="356"/>
      <c r="D20" s="487"/>
      <c r="E20" s="487"/>
      <c r="F20" s="487"/>
      <c r="G20" s="357"/>
      <c r="H20" s="358"/>
      <c r="I20" s="544"/>
      <c r="J20" s="544"/>
      <c r="K20" s="359"/>
      <c r="L20" s="360"/>
      <c r="M20" s="361"/>
    </row>
    <row r="21" spans="2:13" ht="20" customHeight="1" x14ac:dyDescent="0.45">
      <c r="B21" s="29"/>
      <c r="C21" s="356"/>
      <c r="D21" s="487"/>
      <c r="E21" s="487"/>
      <c r="F21" s="487"/>
      <c r="G21" s="357"/>
      <c r="H21" s="358"/>
      <c r="I21" s="544"/>
      <c r="J21" s="544"/>
      <c r="K21" s="359"/>
      <c r="L21" s="360"/>
      <c r="M21" s="361"/>
    </row>
    <row r="22" spans="2:13" ht="20" customHeight="1" x14ac:dyDescent="0.45">
      <c r="B22" s="29"/>
      <c r="C22" s="356"/>
      <c r="D22" s="487"/>
      <c r="E22" s="487"/>
      <c r="F22" s="487"/>
      <c r="G22" s="357"/>
      <c r="H22" s="358"/>
      <c r="I22" s="544"/>
      <c r="J22" s="544"/>
      <c r="K22" s="359"/>
      <c r="L22" s="360"/>
      <c r="M22" s="361"/>
    </row>
    <row r="23" spans="2:13" ht="20" customHeight="1" x14ac:dyDescent="0.45">
      <c r="B23" s="29"/>
      <c r="C23" s="356"/>
      <c r="D23" s="487"/>
      <c r="E23" s="487"/>
      <c r="F23" s="487"/>
      <c r="G23" s="357"/>
      <c r="H23" s="358"/>
      <c r="I23" s="544"/>
      <c r="J23" s="544"/>
      <c r="K23" s="359"/>
      <c r="L23" s="360"/>
      <c r="M23" s="361"/>
    </row>
    <row r="24" spans="2:13" ht="20" customHeight="1" x14ac:dyDescent="0.45">
      <c r="B24" s="29"/>
      <c r="C24" s="356"/>
      <c r="D24" s="487"/>
      <c r="E24" s="487"/>
      <c r="F24" s="487"/>
      <c r="G24" s="357"/>
      <c r="H24" s="358"/>
      <c r="I24" s="544"/>
      <c r="J24" s="544"/>
      <c r="K24" s="359"/>
      <c r="L24" s="360"/>
      <c r="M24" s="361"/>
    </row>
    <row r="25" spans="2:13" ht="20" customHeight="1" x14ac:dyDescent="0.45">
      <c r="B25" s="29"/>
      <c r="C25" s="356"/>
      <c r="D25" s="487"/>
      <c r="E25" s="487"/>
      <c r="F25" s="487"/>
      <c r="G25" s="357"/>
      <c r="H25" s="358"/>
      <c r="I25" s="544"/>
      <c r="J25" s="544"/>
      <c r="K25" s="359"/>
      <c r="L25" s="360"/>
      <c r="M25" s="361"/>
    </row>
    <row r="26" spans="2:13" ht="20" customHeight="1" x14ac:dyDescent="0.45">
      <c r="B26" s="29"/>
      <c r="C26" s="356"/>
      <c r="D26" s="487"/>
      <c r="E26" s="487"/>
      <c r="F26" s="487"/>
      <c r="G26" s="357"/>
      <c r="H26" s="358"/>
      <c r="I26" s="544"/>
      <c r="J26" s="544"/>
      <c r="K26" s="359"/>
      <c r="L26" s="360"/>
      <c r="M26" s="361"/>
    </row>
    <row r="27" spans="2:13" ht="20" customHeight="1" x14ac:dyDescent="0.45">
      <c r="B27" s="29"/>
      <c r="C27" s="356"/>
      <c r="D27" s="487"/>
      <c r="E27" s="487"/>
      <c r="F27" s="487"/>
      <c r="G27" s="357"/>
      <c r="H27" s="358"/>
      <c r="I27" s="544"/>
      <c r="J27" s="544"/>
      <c r="K27" s="359"/>
      <c r="L27" s="360"/>
      <c r="M27" s="361"/>
    </row>
    <row r="28" spans="2:13" ht="20" customHeight="1" x14ac:dyDescent="0.45">
      <c r="B28" s="29"/>
      <c r="C28" s="356"/>
      <c r="D28" s="487"/>
      <c r="E28" s="487"/>
      <c r="F28" s="487"/>
      <c r="G28" s="357"/>
      <c r="H28" s="358"/>
      <c r="I28" s="544"/>
      <c r="J28" s="544"/>
      <c r="K28" s="359"/>
      <c r="L28" s="360"/>
      <c r="M28" s="361"/>
    </row>
    <row r="29" spans="2:13" ht="20" customHeight="1" x14ac:dyDescent="0.45">
      <c r="B29" s="29"/>
      <c r="C29" s="149" t="s">
        <v>2146</v>
      </c>
      <c r="D29" s="403"/>
      <c r="E29" s="403"/>
      <c r="F29" s="403"/>
      <c r="G29" s="76"/>
      <c r="H29" s="186"/>
      <c r="I29" s="484"/>
      <c r="J29" s="484"/>
      <c r="K29" s="190"/>
      <c r="L29" s="360"/>
      <c r="M29" s="361"/>
    </row>
    <row r="30" spans="2:13" ht="20" customHeight="1" x14ac:dyDescent="0.45">
      <c r="B30" s="29"/>
      <c r="C30" s="212" t="s">
        <v>966</v>
      </c>
      <c r="D30" s="487" t="str">
        <f>VLOOKUP(C30,'Sales Master'!B$3:D$537,2,)</f>
        <v>Coconut Milk 椰浆</v>
      </c>
      <c r="E30" s="487"/>
      <c r="F30" s="487"/>
      <c r="G30" s="17">
        <v>1</v>
      </c>
      <c r="H30" s="358" t="str">
        <f>VLOOKUP(C30,'Sales Master'!$B$3:$F$2464,5,0)</f>
        <v>(1L x 12bag)/箱</v>
      </c>
      <c r="I30" s="544" t="str">
        <f>VLOOKUP(C30,'Sales Master'!$B$3:$E$2464,4,0)</f>
        <v>Kara UHT</v>
      </c>
      <c r="J30" s="544"/>
      <c r="K30" s="190">
        <v>54</v>
      </c>
      <c r="L30" s="360"/>
      <c r="M30" s="361"/>
    </row>
    <row r="31" spans="2:13" ht="20.149999999999999" customHeight="1" x14ac:dyDescent="0.45">
      <c r="B31" s="29"/>
      <c r="C31" s="212"/>
      <c r="D31" s="487"/>
      <c r="E31" s="487"/>
      <c r="F31" s="487"/>
      <c r="G31" s="357"/>
      <c r="H31" s="358"/>
      <c r="I31" s="544"/>
      <c r="J31" s="544"/>
      <c r="K31" s="359"/>
      <c r="L31" s="360"/>
      <c r="M31" s="361"/>
    </row>
    <row r="32" spans="2:13" ht="20.149999999999999" customHeight="1" x14ac:dyDescent="0.45">
      <c r="B32" s="104"/>
      <c r="C32" s="105"/>
      <c r="D32" s="514"/>
      <c r="E32" s="514"/>
      <c r="F32" s="514"/>
      <c r="G32" s="105"/>
      <c r="H32" s="138"/>
      <c r="I32" s="517"/>
      <c r="J32" s="517"/>
      <c r="K32" s="106"/>
      <c r="L32" s="107"/>
    </row>
    <row r="33" spans="2:13" ht="20.149999999999999" customHeight="1" thickBot="1" x14ac:dyDescent="0.5">
      <c r="B33" s="36"/>
      <c r="L33" s="37"/>
    </row>
    <row r="34" spans="2:13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72"/>
      <c r="J34" s="489" t="s">
        <v>13</v>
      </c>
      <c r="K34" s="490"/>
      <c r="L34" s="38">
        <f>SUM(L18:L33)</f>
        <v>30</v>
      </c>
      <c r="M34" s="63">
        <f>SUM(P3:P33)-L34*0.02</f>
        <v>-0.6</v>
      </c>
    </row>
    <row r="35" spans="2:13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72"/>
      <c r="J35" s="39" t="s">
        <v>20</v>
      </c>
      <c r="K35" s="40"/>
      <c r="L35" s="41">
        <f>L34*K35</f>
        <v>0</v>
      </c>
    </row>
    <row r="36" spans="2:13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72"/>
      <c r="J36" s="491" t="s">
        <v>19</v>
      </c>
      <c r="K36" s="492"/>
      <c r="L36" s="41">
        <f>L34-L35</f>
        <v>30</v>
      </c>
    </row>
    <row r="37" spans="2:13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72"/>
      <c r="J37" s="102" t="s">
        <v>15</v>
      </c>
      <c r="K37" s="103">
        <f>'Sales Master'!$B$1</f>
        <v>0.09</v>
      </c>
      <c r="L37" s="42">
        <f>L36*K37</f>
        <v>2.6999999999999997</v>
      </c>
    </row>
    <row r="38" spans="2:13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72"/>
      <c r="J38" s="485" t="s">
        <v>21</v>
      </c>
      <c r="K38" s="486"/>
      <c r="L38" s="43">
        <f>L36+L37</f>
        <v>32.700000000000003</v>
      </c>
    </row>
    <row r="39" spans="2:13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72"/>
      <c r="L39" s="37"/>
    </row>
    <row r="40" spans="2:13" ht="20.149999999999999" customHeight="1" x14ac:dyDescent="0.45">
      <c r="B40" s="10"/>
      <c r="C40" s="6"/>
      <c r="D40" s="6"/>
      <c r="E40" s="6"/>
      <c r="F40" s="6"/>
      <c r="G40" s="6"/>
      <c r="H40" s="6"/>
      <c r="I40" s="72"/>
      <c r="L40" s="37"/>
    </row>
    <row r="41" spans="2:13" ht="20.149999999999999" customHeight="1" x14ac:dyDescent="0.45">
      <c r="B41" s="10"/>
      <c r="C41" s="6"/>
      <c r="D41" s="6"/>
      <c r="E41" s="6"/>
      <c r="F41" s="6"/>
      <c r="G41" s="6"/>
      <c r="H41" s="6"/>
      <c r="I41" s="72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44"/>
      <c r="C43" s="45"/>
      <c r="D43" s="45"/>
      <c r="J43" s="73"/>
      <c r="K43" s="45"/>
      <c r="L43" s="37"/>
    </row>
    <row r="44" spans="2:13" ht="20.149999999999999" customHeight="1" x14ac:dyDescent="0.45">
      <c r="B44" s="36" t="s">
        <v>25</v>
      </c>
      <c r="J44" s="67" t="s">
        <v>26</v>
      </c>
      <c r="L44" s="37"/>
    </row>
    <row r="45" spans="2:13" ht="19" thickBot="1" x14ac:dyDescent="0.5">
      <c r="B45" s="47"/>
      <c r="C45" s="48"/>
      <c r="D45" s="48"/>
      <c r="E45" s="48"/>
      <c r="F45" s="48"/>
      <c r="G45" s="48"/>
      <c r="H45" s="48"/>
      <c r="I45" s="74"/>
      <c r="J45" s="74"/>
      <c r="K45" s="48"/>
      <c r="L45" s="49"/>
    </row>
  </sheetData>
  <mergeCells count="47">
    <mergeCell ref="D28:F28"/>
    <mergeCell ref="I28:J28"/>
    <mergeCell ref="D27:F27"/>
    <mergeCell ref="I27:J27"/>
    <mergeCell ref="J38:K38"/>
    <mergeCell ref="J36:K36"/>
    <mergeCell ref="J34:K34"/>
    <mergeCell ref="D32:F32"/>
    <mergeCell ref="I32:J32"/>
    <mergeCell ref="D31:F31"/>
    <mergeCell ref="I31:J31"/>
    <mergeCell ref="D30:F30"/>
    <mergeCell ref="I30:J30"/>
    <mergeCell ref="I29:J29"/>
    <mergeCell ref="B1:L8"/>
    <mergeCell ref="D17:F17"/>
    <mergeCell ref="I17:J17"/>
    <mergeCell ref="K11:L11"/>
    <mergeCell ref="B12:D12"/>
    <mergeCell ref="K10:L10"/>
    <mergeCell ref="B11:D11"/>
    <mergeCell ref="F11:H15"/>
    <mergeCell ref="K12:L12"/>
    <mergeCell ref="K14:L14"/>
    <mergeCell ref="K15:L15"/>
    <mergeCell ref="B14:D14"/>
    <mergeCell ref="B13:D13"/>
    <mergeCell ref="K13:L13"/>
    <mergeCell ref="B15:D15"/>
    <mergeCell ref="I18:J18"/>
    <mergeCell ref="D18:F18"/>
    <mergeCell ref="D25:F25"/>
    <mergeCell ref="I25:J25"/>
    <mergeCell ref="D19:F19"/>
    <mergeCell ref="D20:F20"/>
    <mergeCell ref="I20:J20"/>
    <mergeCell ref="I19:J19"/>
    <mergeCell ref="D22:F22"/>
    <mergeCell ref="D23:F23"/>
    <mergeCell ref="D21:F21"/>
    <mergeCell ref="I21:J21"/>
    <mergeCell ref="I22:J22"/>
    <mergeCell ref="D26:F26"/>
    <mergeCell ref="I26:J26"/>
    <mergeCell ref="D24:F24"/>
    <mergeCell ref="I24:J24"/>
    <mergeCell ref="I23:J23"/>
  </mergeCells>
  <conditionalFormatting sqref="C29">
    <cfRule type="duplicateValues" dxfId="232" priority="1"/>
  </conditionalFormatting>
  <pageMargins left="0.70866141732283472" right="0.31496062992125984" top="0.23622047244094491" bottom="0.23622047244094491" header="0.31496062992125984" footer="0.31496062992125984"/>
  <pageSetup paperSize="9" scale="72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2E40A-9FF6-4A2B-B0CC-E8A72C4B6444}">
  <sheetPr>
    <tabColor rgb="FFFFC000"/>
    <pageSetUpPr fitToPage="1"/>
  </sheetPr>
  <dimension ref="A1:R53"/>
  <sheetViews>
    <sheetView topLeftCell="A21" zoomScaleNormal="100" workbookViewId="0">
      <selection activeCell="H26" sqref="H26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2" width="12.6328125" style="19" customWidth="1"/>
    <col min="13" max="13" width="19.7265625" style="19" customWidth="1"/>
    <col min="14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159</v>
      </c>
      <c r="J10" s="24" t="s">
        <v>27</v>
      </c>
      <c r="K10" s="464">
        <v>202504265</v>
      </c>
      <c r="L10" s="465"/>
    </row>
    <row r="11" spans="2:12" ht="20.149999999999999" customHeight="1" x14ac:dyDescent="0.45">
      <c r="B11" s="466" t="s">
        <v>678</v>
      </c>
      <c r="C11" s="467"/>
      <c r="D11" s="468"/>
      <c r="E11" s="25"/>
      <c r="F11" s="469" t="str">
        <f>VLOOKUP(H10,'Delivery Location'!A$4:N$466,2,0)</f>
        <v>Drink &amp; Dessert Stall                                          CCK Lots1 Stall #15.                                            21 Choa Chu Kang Ave 4, #04-15.                   Lot One Shoppers Mall. Singapore 689812</v>
      </c>
      <c r="G11" s="470"/>
      <c r="H11" s="471"/>
      <c r="J11" s="26" t="s">
        <v>9</v>
      </c>
      <c r="K11" s="478">
        <v>45758</v>
      </c>
      <c r="L11" s="479"/>
    </row>
    <row r="12" spans="2:12" ht="20.149999999999999" customHeight="1" x14ac:dyDescent="0.45">
      <c r="B12" s="480" t="s">
        <v>524</v>
      </c>
      <c r="C12" s="453"/>
      <c r="D12" s="481"/>
      <c r="E12" s="25"/>
      <c r="F12" s="472"/>
      <c r="G12" s="473"/>
      <c r="H12" s="474"/>
      <c r="J12" s="26" t="s">
        <v>127</v>
      </c>
      <c r="K12" s="482">
        <v>4500363425</v>
      </c>
      <c r="L12" s="483"/>
    </row>
    <row r="13" spans="2:12" ht="20.149999999999999" customHeight="1" x14ac:dyDescent="0.45">
      <c r="B13" s="480" t="s">
        <v>525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609</v>
      </c>
      <c r="L13" s="483"/>
    </row>
    <row r="14" spans="2:12" ht="20.149999999999999" customHeight="1" x14ac:dyDescent="0.45">
      <c r="B14" s="480" t="s">
        <v>526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18" t="s">
        <v>527</v>
      </c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1:18" ht="20.149999999999999" customHeight="1" x14ac:dyDescent="0.45">
      <c r="A18" s="65"/>
      <c r="B18" s="58">
        <v>520704</v>
      </c>
      <c r="C18" s="212" t="str">
        <f>VLOOKUP(B18,'Sales Master'!A$3:B$537,2,0)</f>
        <v>M1014</v>
      </c>
      <c r="D18" s="487" t="str">
        <f>VLOOKUP(C18,'Sales Master'!B$3:D$537,2,)</f>
        <v>Chendol 浆咯</v>
      </c>
      <c r="E18" s="487"/>
      <c r="F18" s="487"/>
      <c r="G18" s="76">
        <v>4</v>
      </c>
      <c r="H18" s="247" t="str">
        <f>VLOOKUP(C18,'Sales Master'!$B$3:$F$2420,5,0)</f>
        <v>NW(2.2:0.8) 3kg/ Pkt包</v>
      </c>
      <c r="I18" s="513" t="str">
        <f>VLOOKUP(C18,'Sales Master'!$B$3:$E$2420,4,0)</f>
        <v>DO!</v>
      </c>
      <c r="J18" s="513"/>
      <c r="K18" s="83">
        <f>VLOOKUP(C18,'Sales Master'!B$3:I$537,8,0)</f>
        <v>7.5</v>
      </c>
      <c r="L18" s="84">
        <f t="shared" ref="L18" si="0">K18*G18</f>
        <v>30</v>
      </c>
      <c r="N18" s="145">
        <f>VLOOKUP(C18,'Sales Master'!$B$3:$DA$2279,104,0)</f>
        <v>2.44</v>
      </c>
      <c r="O18" s="145">
        <f t="shared" ref="O18" si="1">K18-N18</f>
        <v>5.0600000000000005</v>
      </c>
      <c r="P18" s="145">
        <f t="shared" ref="P18" si="2">O18*G18</f>
        <v>20.240000000000002</v>
      </c>
      <c r="Q18" s="63"/>
      <c r="R18" s="63">
        <f>N18*G18*0.07</f>
        <v>0.68320000000000003</v>
      </c>
    </row>
    <row r="19" spans="1:18" ht="20.149999999999999" customHeight="1" x14ac:dyDescent="0.45">
      <c r="A19" s="65"/>
      <c r="B19" s="58">
        <v>520737</v>
      </c>
      <c r="C19" s="212" t="str">
        <f>VLOOKUP(B19,'Sales Master'!A$3:B$537,2,0)</f>
        <v>M1004</v>
      </c>
      <c r="D19" s="487" t="str">
        <f>VLOOKUP(C19,'Sales Master'!B$3:D$537,2,)</f>
        <v>Mango Puree 芒果酱</v>
      </c>
      <c r="E19" s="487"/>
      <c r="F19" s="487"/>
      <c r="G19" s="76">
        <v>2</v>
      </c>
      <c r="H19" s="247" t="str">
        <f>VLOOKUP(C19,'Sales Master'!$B$3:$F$2420,5,0)</f>
        <v>1 KG/ Box盒</v>
      </c>
      <c r="I19" s="513" t="str">
        <f>VLOOKUP(C19,'Sales Master'!$B$3:$E$2420,4,0)</f>
        <v>DO!</v>
      </c>
      <c r="J19" s="513"/>
      <c r="K19" s="83">
        <f>VLOOKUP(C19,'Sales Master'!B$3:I$537,8,0)</f>
        <v>7</v>
      </c>
      <c r="L19" s="84">
        <f t="shared" ref="L19" si="3">K19*G19</f>
        <v>14</v>
      </c>
      <c r="N19" s="145">
        <f>VLOOKUP(C19,'Sales Master'!$B$3:$DA$2279,104,0)</f>
        <v>2.15</v>
      </c>
      <c r="O19" s="145">
        <f t="shared" ref="O19" si="4">K19-N19</f>
        <v>4.8499999999999996</v>
      </c>
      <c r="P19" s="145">
        <f t="shared" ref="P19" si="5">O19*G19</f>
        <v>9.6999999999999993</v>
      </c>
      <c r="Q19" s="63"/>
      <c r="R19" s="63"/>
    </row>
    <row r="20" spans="1:18" ht="20.149999999999999" customHeight="1" x14ac:dyDescent="0.45">
      <c r="A20" s="65"/>
      <c r="B20" s="58">
        <v>520695</v>
      </c>
      <c r="C20" s="212" t="str">
        <f>VLOOKUP(B20,'Sales Master'!A$3:B$537,2,0)</f>
        <v>P3001B</v>
      </c>
      <c r="D20" s="487" t="str">
        <f>VLOOKUP(C20,'Sales Master'!B$3:D$537,2,)</f>
        <v>Atap Seeds in Syrup 亚嗒子</v>
      </c>
      <c r="E20" s="487"/>
      <c r="F20" s="487"/>
      <c r="G20" s="76">
        <v>2</v>
      </c>
      <c r="H20" s="247" t="str">
        <f>VLOOKUP(C20,'Sales Master'!$B$3:$F$2420,5,0)</f>
        <v>NW(1.6:0.6) 2.2kg/ Bag包</v>
      </c>
      <c r="I20" s="513" t="str">
        <f>VLOOKUP(C20,'Sales Master'!$B$3:$E$2420,4,0)</f>
        <v>DO!</v>
      </c>
      <c r="J20" s="513"/>
      <c r="K20" s="83">
        <f>VLOOKUP(C20,'Sales Master'!B$3:I$537,8,0)</f>
        <v>10</v>
      </c>
      <c r="L20" s="84">
        <f>K20*G20</f>
        <v>20</v>
      </c>
      <c r="N20" s="145">
        <f>VLOOKUP(C20,'Sales Master'!$B$3:$DA$2279,104,0)</f>
        <v>7.3</v>
      </c>
      <c r="O20" s="145">
        <f>K20-N20</f>
        <v>2.7</v>
      </c>
      <c r="P20" s="145">
        <f>O20*G20</f>
        <v>5.4</v>
      </c>
      <c r="Q20" s="63"/>
      <c r="R20" s="63"/>
    </row>
    <row r="21" spans="1:18" ht="20.149999999999999" customHeight="1" x14ac:dyDescent="0.45">
      <c r="A21" s="65"/>
      <c r="B21" s="58">
        <v>520721</v>
      </c>
      <c r="C21" s="212" t="str">
        <f>VLOOKUP(B21,'Sales Master'!A$3:B$537,2,0)</f>
        <v>P3004A</v>
      </c>
      <c r="D21" s="487" t="str">
        <f>VLOOKUP(C21,'Sales Master'!B$3:D$537,2,)</f>
        <v>GingKo Nut (Peel off) 白果仁</v>
      </c>
      <c r="E21" s="487"/>
      <c r="F21" s="487"/>
      <c r="G21" s="76">
        <v>2</v>
      </c>
      <c r="H21" s="247" t="str">
        <f>VLOOKUP(C21,'Sales Master'!$B$3:$F$2420,5,0)</f>
        <v>1 KG (500 GM X 2)</v>
      </c>
      <c r="I21" s="513" t="str">
        <f>VLOOKUP(C21,'Sales Master'!$B$3:$E$2420,4,0)</f>
        <v>-</v>
      </c>
      <c r="J21" s="513"/>
      <c r="K21" s="83">
        <f>VLOOKUP(C21,'Sales Master'!B$3:I$537,8,0)</f>
        <v>4.5</v>
      </c>
      <c r="L21" s="84">
        <f t="shared" ref="L21" si="6">K21*G21</f>
        <v>9</v>
      </c>
      <c r="N21" s="145">
        <f>VLOOKUP(C21,'Sales Master'!$B$3:$DA$2279,104,0)</f>
        <v>3</v>
      </c>
      <c r="O21" s="145">
        <f t="shared" ref="O21" si="7">K21-N21</f>
        <v>1.5</v>
      </c>
      <c r="P21" s="145">
        <f t="shared" ref="P21" si="8">O21*G21</f>
        <v>3</v>
      </c>
      <c r="Q21" s="63"/>
      <c r="R21" s="63"/>
    </row>
    <row r="22" spans="1:18" ht="20.149999999999999" customHeight="1" x14ac:dyDescent="0.45">
      <c r="A22" s="65"/>
      <c r="B22" s="58">
        <v>520738</v>
      </c>
      <c r="C22" s="212" t="str">
        <f>VLOOKUP(B22,'Sales Master'!A$3:B$537,2,0)</f>
        <v>P3005A</v>
      </c>
      <c r="D22" s="487" t="str">
        <f>VLOOKUP(C22,'Sales Master'!B$3:D$537,2,)</f>
        <v>Red Bean 红豆 (5.5 mm)</v>
      </c>
      <c r="E22" s="487"/>
      <c r="F22" s="487"/>
      <c r="G22" s="76">
        <v>2</v>
      </c>
      <c r="H22" s="247" t="str">
        <f>VLOOKUP(C22,'Sales Master'!$B$3:$F$2420,5,0)</f>
        <v>5 KG</v>
      </c>
      <c r="I22" s="513" t="str">
        <f>VLOOKUP(C22,'Sales Master'!$B$3:$E$2420,4,0)</f>
        <v>-</v>
      </c>
      <c r="J22" s="513"/>
      <c r="K22" s="83">
        <f>VLOOKUP(C22,'Sales Master'!B$3:I$537,8,0)</f>
        <v>17.5</v>
      </c>
      <c r="L22" s="84">
        <f>K22*G22</f>
        <v>35</v>
      </c>
      <c r="N22" s="145">
        <f>VLOOKUP(C22,'Sales Master'!$B$3:$DA$2279,104,0)</f>
        <v>12.5</v>
      </c>
      <c r="O22" s="145">
        <f>K22-N22</f>
        <v>5</v>
      </c>
      <c r="P22" s="145">
        <f>O22*G22</f>
        <v>10</v>
      </c>
      <c r="Q22" s="63"/>
      <c r="R22" s="63"/>
    </row>
    <row r="23" spans="1:18" ht="20.149999999999999" customHeight="1" x14ac:dyDescent="0.45">
      <c r="A23" s="65"/>
      <c r="B23" s="58">
        <v>520696</v>
      </c>
      <c r="C23" s="212" t="str">
        <f>VLOOKUP(B23,'Sales Master'!A$3:B$537,2,0)</f>
        <v>P3016A</v>
      </c>
      <c r="D23" s="487" t="str">
        <f>VLOOKUP(C23,'Sales Master'!B$3:D$537,2,)</f>
        <v>Pearl Barley 薏米</v>
      </c>
      <c r="E23" s="487"/>
      <c r="F23" s="487"/>
      <c r="G23" s="76">
        <v>1</v>
      </c>
      <c r="H23" s="247" t="str">
        <f>VLOOKUP(C23,'Sales Master'!$B$3:$F$2420,5,0)</f>
        <v>5 KG</v>
      </c>
      <c r="I23" s="513" t="str">
        <f>VLOOKUP(C23,'Sales Master'!$B$3:$E$2420,4,0)</f>
        <v>-</v>
      </c>
      <c r="J23" s="513"/>
      <c r="K23" s="83">
        <f>VLOOKUP(C23,'Sales Master'!B$3:I$537,8,0)</f>
        <v>10</v>
      </c>
      <c r="L23" s="84">
        <f>K23*G23</f>
        <v>10</v>
      </c>
      <c r="N23" s="145">
        <f>VLOOKUP(C23,'Sales Master'!$B$3:$DA$2279,104,0)</f>
        <v>7.6</v>
      </c>
      <c r="O23" s="145">
        <f>K23-N23</f>
        <v>2.4000000000000004</v>
      </c>
      <c r="P23" s="145">
        <f>O23*G23</f>
        <v>2.4000000000000004</v>
      </c>
      <c r="Q23" s="63"/>
      <c r="R23" s="63"/>
    </row>
    <row r="24" spans="1:18" ht="20.149999999999999" customHeight="1" x14ac:dyDescent="0.45">
      <c r="A24" s="65"/>
      <c r="B24" s="58">
        <v>520714</v>
      </c>
      <c r="C24" s="212" t="str">
        <f>VLOOKUP(B24,'Sales Master'!A$3:B$537,2,0)</f>
        <v>P3019A</v>
      </c>
      <c r="D24" s="487" t="str">
        <f>VLOOKUP(C24,'Sales Master'!B$3:D$537,2,)</f>
        <v>Dried Longan 龙眼干</v>
      </c>
      <c r="E24" s="487"/>
      <c r="F24" s="487"/>
      <c r="G24" s="76">
        <v>3</v>
      </c>
      <c r="H24" s="247" t="str">
        <f>VLOOKUP(C24,'Sales Master'!$B$3:$F$2420,5,0)</f>
        <v>1 kg/ Pkt包</v>
      </c>
      <c r="I24" s="513" t="str">
        <f>VLOOKUP(C24,'Sales Master'!$B$3:$E$2420,4,0)</f>
        <v>TL</v>
      </c>
      <c r="J24" s="513"/>
      <c r="K24" s="83">
        <f>VLOOKUP(C24,'Sales Master'!B$3:I$537,8,0)</f>
        <v>15</v>
      </c>
      <c r="L24" s="84">
        <f>K24*G24</f>
        <v>45</v>
      </c>
      <c r="N24" s="145">
        <f>VLOOKUP(C24,'Sales Master'!$B$3:$DA$2279,104,0)</f>
        <v>8.8000000000000007</v>
      </c>
      <c r="O24" s="145">
        <f>K24-N24</f>
        <v>6.1999999999999993</v>
      </c>
      <c r="P24" s="145">
        <f>O24*G24</f>
        <v>18.599999999999998</v>
      </c>
      <c r="Q24" s="63"/>
      <c r="R24" s="63"/>
    </row>
    <row r="25" spans="1:18" ht="20.149999999999999" customHeight="1" x14ac:dyDescent="0.45">
      <c r="A25" s="65"/>
      <c r="B25" s="58">
        <v>520788</v>
      </c>
      <c r="C25" s="212" t="str">
        <f>VLOOKUP(B25,'Sales Master'!A$3:B$537,2,0)</f>
        <v>P3033A</v>
      </c>
      <c r="D25" s="487" t="str">
        <f>VLOOKUP(C25,'Sales Master'!B$3:D$537,2,)</f>
        <v>Wolfberry 枸杞子</v>
      </c>
      <c r="E25" s="487"/>
      <c r="F25" s="487"/>
      <c r="G25" s="76">
        <v>1</v>
      </c>
      <c r="H25" s="247" t="str">
        <f>VLOOKUP(C25,'Sales Master'!$B$3:$F$2420,5,0)</f>
        <v>500 GM</v>
      </c>
      <c r="I25" s="513" t="str">
        <f>VLOOKUP(C25,'Sales Master'!$B$3:$E$2420,4,0)</f>
        <v>-</v>
      </c>
      <c r="J25" s="513"/>
      <c r="K25" s="83">
        <f>VLOOKUP(C25,'Sales Master'!B$3:I$537,8,0)</f>
        <v>8</v>
      </c>
      <c r="L25" s="84">
        <f t="shared" ref="L25" si="9">K25*G25</f>
        <v>8</v>
      </c>
      <c r="N25" s="145">
        <f>VLOOKUP(C25,'Sales Master'!$B$3:$DA$2279,104,0)</f>
        <v>6</v>
      </c>
      <c r="O25" s="145">
        <f t="shared" ref="O25" si="10">K25-N25</f>
        <v>2</v>
      </c>
      <c r="P25" s="145">
        <f t="shared" ref="P25" si="11">O25*G25</f>
        <v>2</v>
      </c>
      <c r="Q25" s="63"/>
      <c r="R25" s="63"/>
    </row>
    <row r="26" spans="1:18" ht="20.149999999999999" customHeight="1" x14ac:dyDescent="0.45">
      <c r="A26" s="65"/>
      <c r="B26" s="58">
        <v>520728</v>
      </c>
      <c r="C26" s="212" t="str">
        <f>VLOOKUP(B26,'Sales Master'!A$3:B$537,2,0)</f>
        <v>P4010</v>
      </c>
      <c r="D26" s="487" t="str">
        <f>VLOOKUP(C26,'Sales Master'!B$3:D$537,2,)</f>
        <v>Lychee in Syrup 荔枝</v>
      </c>
      <c r="E26" s="487"/>
      <c r="F26" s="487"/>
      <c r="G26" s="76">
        <v>3</v>
      </c>
      <c r="H26" s="247" t="str">
        <f>VLOOKUP(C26,'Sales Master'!$B$3:$F$2420,5,0)</f>
        <v>12can/箱</v>
      </c>
      <c r="I26" s="513" t="str">
        <f>VLOOKUP(C26,'Sales Master'!$B$3:$E$2420,4,0)</f>
        <v>MiLi</v>
      </c>
      <c r="J26" s="513"/>
      <c r="K26" s="83">
        <f>VLOOKUP(C26,'Sales Master'!B$3:I$537,8,0)</f>
        <v>26.5</v>
      </c>
      <c r="L26" s="84">
        <f>K26*G26</f>
        <v>79.5</v>
      </c>
      <c r="N26" s="145">
        <f>VLOOKUP(C26,'Sales Master'!$B$3:$DA$2279,104,0)</f>
        <v>20</v>
      </c>
      <c r="O26" s="145">
        <f>K26-N26</f>
        <v>6.5</v>
      </c>
      <c r="P26" s="145">
        <f>O26*G26</f>
        <v>19.5</v>
      </c>
      <c r="Q26" s="63"/>
      <c r="R26" s="63"/>
    </row>
    <row r="27" spans="1:18" ht="20.149999999999999" customHeight="1" x14ac:dyDescent="0.45">
      <c r="A27" s="65"/>
      <c r="B27" s="58">
        <v>520733</v>
      </c>
      <c r="C27" s="212" t="str">
        <f>VLOOKUP(B27,'Sales Master'!A$3:B$537,2,0)</f>
        <v>P6002A</v>
      </c>
      <c r="D27" s="487" t="str">
        <f>VLOOKUP(C27,'Sales Master'!B$3:D$537,2,)</f>
        <v>Skinless Sweet Potato 去皮番薯</v>
      </c>
      <c r="E27" s="487"/>
      <c r="F27" s="487"/>
      <c r="G27" s="76">
        <v>1</v>
      </c>
      <c r="H27" s="247" t="str">
        <f>VLOOKUP(C27,'Sales Master'!$B$3:$F$2420,5,0)</f>
        <v>5 KG</v>
      </c>
      <c r="I27" s="513" t="str">
        <f>VLOOKUP(C27,'Sales Master'!$B$3:$E$2420,4,0)</f>
        <v>Malaysia</v>
      </c>
      <c r="J27" s="513"/>
      <c r="K27" s="83">
        <f>VLOOKUP(C27,'Sales Master'!B$3:I$537,8,0)</f>
        <v>18</v>
      </c>
      <c r="L27" s="84">
        <f>K27*G27</f>
        <v>18</v>
      </c>
      <c r="N27" s="145">
        <f>VLOOKUP(C27,'Sales Master'!$B$3:$DA$2279,104,0)</f>
        <v>9</v>
      </c>
      <c r="O27" s="145">
        <f>K27-N27</f>
        <v>9</v>
      </c>
      <c r="P27" s="145">
        <f>O27*G27</f>
        <v>9</v>
      </c>
      <c r="Q27" s="63"/>
      <c r="R27" s="63"/>
    </row>
    <row r="28" spans="1:18" ht="20.149999999999999" customHeight="1" x14ac:dyDescent="0.45">
      <c r="A28" s="65"/>
      <c r="B28" s="58">
        <v>520731</v>
      </c>
      <c r="C28" s="212" t="str">
        <f>VLOOKUP(B28,'Sales Master'!A$3:B$537,2,0)</f>
        <v>P6007</v>
      </c>
      <c r="D28" s="487" t="str">
        <f>VLOOKUP(C28,'Sales Master'!B$3:D$537,2,)</f>
        <v>Pandan Leaf 班兰叶</v>
      </c>
      <c r="E28" s="487"/>
      <c r="F28" s="487"/>
      <c r="G28" s="76">
        <v>1</v>
      </c>
      <c r="H28" s="247" t="str">
        <f>VLOOKUP(C28,'Sales Master'!$B$3:$F$2420,5,0)</f>
        <v>1 KG</v>
      </c>
      <c r="I28" s="513" t="str">
        <f>VLOOKUP(C28,'Sales Master'!$B$3:$E$2420,4,0)</f>
        <v>-</v>
      </c>
      <c r="J28" s="513"/>
      <c r="K28" s="83">
        <f>VLOOKUP(C28,'Sales Master'!B$3:I$537,8,0)</f>
        <v>1.8</v>
      </c>
      <c r="L28" s="84">
        <f>K28*G28</f>
        <v>1.8</v>
      </c>
      <c r="N28" s="145">
        <f>VLOOKUP(C28,'Sales Master'!$B$3:$DA$2279,104,0)</f>
        <v>1.1000000000000001</v>
      </c>
      <c r="O28" s="145">
        <f>K28-N28</f>
        <v>0.7</v>
      </c>
      <c r="P28" s="145">
        <f>O28*G28</f>
        <v>0.7</v>
      </c>
      <c r="Q28" s="63"/>
      <c r="R28" s="63"/>
    </row>
    <row r="29" spans="1:18" ht="20.149999999999999" customHeight="1" x14ac:dyDescent="0.45">
      <c r="A29" s="65"/>
      <c r="B29" s="58">
        <v>520792</v>
      </c>
      <c r="C29" s="212" t="str">
        <f>VLOOKUP(B29,'Sales Master'!A$3:B$537,2,0)</f>
        <v>P6014</v>
      </c>
      <c r="D29" s="487" t="str">
        <f>VLOOKUP(C29,'Sales Master'!B$3:D$537,2,)</f>
        <v>Yu Tiao 油条</v>
      </c>
      <c r="E29" s="487"/>
      <c r="F29" s="487"/>
      <c r="G29" s="76">
        <v>2</v>
      </c>
      <c r="H29" s="247" t="str">
        <f>VLOOKUP(C29,'Sales Master'!$B$3:$F$2420,5,0)</f>
        <v>10 PCS/PKT</v>
      </c>
      <c r="I29" s="513" t="str">
        <f>VLOOKUP(C29,'Sales Master'!$B$3:$E$2420,4,0)</f>
        <v>-</v>
      </c>
      <c r="J29" s="513"/>
      <c r="K29" s="83">
        <f>VLOOKUP(C29,'Sales Master'!B$3:I$537,8,0)</f>
        <v>5.5</v>
      </c>
      <c r="L29" s="84">
        <f>K29*G29</f>
        <v>11</v>
      </c>
      <c r="N29" s="145">
        <f>VLOOKUP(C29,'Sales Master'!$B$3:$DA$2279,104,0)</f>
        <v>0.45</v>
      </c>
      <c r="O29" s="145">
        <f>K29-N29</f>
        <v>5.05</v>
      </c>
      <c r="P29" s="145">
        <f>O29*G29</f>
        <v>10.1</v>
      </c>
      <c r="Q29" s="63"/>
      <c r="R29" s="63"/>
    </row>
    <row r="30" spans="1:18" ht="20.149999999999999" customHeight="1" x14ac:dyDescent="0.45">
      <c r="A30" s="65"/>
      <c r="B30" s="58">
        <v>520740</v>
      </c>
      <c r="C30" s="212" t="str">
        <f>VLOOKUP(B30,'Sales Master'!A$3:B$537,2,0)</f>
        <v>M1037A</v>
      </c>
      <c r="D30" s="487" t="str">
        <f>VLOOKUP(C30,'Sales Master'!B$3:D$537,2,)</f>
        <v>Rock Sugar Syrup 冰糖浆</v>
      </c>
      <c r="E30" s="487"/>
      <c r="F30" s="487"/>
      <c r="G30" s="76">
        <v>4</v>
      </c>
      <c r="H30" s="247" t="str">
        <f>VLOOKUP(C30,'Sales Master'!$B$3:$F$2420,5,0)</f>
        <v>5 KG</v>
      </c>
      <c r="I30" s="513" t="str">
        <f>VLOOKUP(C30,'Sales Master'!$B$3:$E$2420,4,0)</f>
        <v>DO!</v>
      </c>
      <c r="J30" s="513"/>
      <c r="K30" s="83">
        <f>VLOOKUP(C30,'Sales Master'!B$3:I$537,8,0)</f>
        <v>11</v>
      </c>
      <c r="L30" s="84">
        <f t="shared" ref="L30" si="12">K30*G30</f>
        <v>44</v>
      </c>
      <c r="N30" s="145">
        <f>VLOOKUP(C30,'Sales Master'!$B$3:$DA$2279,104,0)</f>
        <v>5.86</v>
      </c>
      <c r="O30" s="145">
        <f t="shared" ref="O30" si="13">K30-N30</f>
        <v>5.14</v>
      </c>
      <c r="P30" s="145">
        <f t="shared" ref="P30" si="14">O30*G30</f>
        <v>20.56</v>
      </c>
      <c r="Q30" s="63"/>
      <c r="R30" s="63"/>
    </row>
    <row r="31" spans="1:18" ht="20.149999999999999" customHeight="1" x14ac:dyDescent="0.45">
      <c r="A31" s="65"/>
      <c r="B31" s="58"/>
      <c r="C31" s="212"/>
      <c r="D31" s="487"/>
      <c r="E31" s="487"/>
      <c r="F31" s="487"/>
      <c r="G31" s="76"/>
      <c r="H31" s="247"/>
      <c r="I31" s="513"/>
      <c r="J31" s="513"/>
      <c r="K31" s="83"/>
      <c r="L31" s="84"/>
      <c r="N31" s="145"/>
      <c r="O31" s="145"/>
      <c r="P31" s="145"/>
      <c r="Q31" s="63"/>
      <c r="R31" s="63"/>
    </row>
    <row r="32" spans="1:18" ht="20.149999999999999" customHeight="1" x14ac:dyDescent="0.45">
      <c r="A32" s="65"/>
      <c r="B32" s="58"/>
      <c r="C32" s="212"/>
      <c r="D32" s="487"/>
      <c r="E32" s="487"/>
      <c r="F32" s="487"/>
      <c r="G32" s="76"/>
      <c r="H32" s="247"/>
      <c r="I32" s="513"/>
      <c r="J32" s="513"/>
      <c r="K32" s="83"/>
      <c r="L32" s="84"/>
      <c r="N32" s="145"/>
      <c r="O32" s="145"/>
      <c r="P32" s="145"/>
      <c r="Q32" s="63"/>
      <c r="R32" s="63"/>
    </row>
    <row r="33" spans="1:18" ht="20.149999999999999" customHeight="1" x14ac:dyDescent="0.45">
      <c r="A33" s="65"/>
      <c r="B33" s="58"/>
      <c r="C33" s="212"/>
      <c r="D33" s="487"/>
      <c r="E33" s="487"/>
      <c r="F33" s="487"/>
      <c r="G33" s="76"/>
      <c r="H33" s="247"/>
      <c r="I33" s="513"/>
      <c r="J33" s="513"/>
      <c r="K33" s="83"/>
      <c r="L33" s="84"/>
      <c r="N33" s="145"/>
      <c r="O33" s="145"/>
      <c r="P33" s="145"/>
      <c r="Q33" s="63"/>
      <c r="R33" s="63"/>
    </row>
    <row r="34" spans="1:18" ht="20.149999999999999" customHeight="1" x14ac:dyDescent="0.45">
      <c r="A34" s="65"/>
      <c r="B34" s="58"/>
      <c r="C34" s="212"/>
      <c r="D34" s="487"/>
      <c r="E34" s="487"/>
      <c r="F34" s="487"/>
      <c r="G34" s="76"/>
      <c r="H34" s="247"/>
      <c r="I34" s="513"/>
      <c r="J34" s="513"/>
      <c r="K34" s="83"/>
      <c r="L34" s="84"/>
      <c r="N34" s="145"/>
      <c r="O34" s="145"/>
      <c r="P34" s="145"/>
      <c r="Q34" s="63"/>
      <c r="R34" s="63"/>
    </row>
    <row r="35" spans="1:18" ht="20.149999999999999" customHeight="1" x14ac:dyDescent="0.45">
      <c r="A35" s="65"/>
      <c r="B35" s="242"/>
      <c r="C35" s="212"/>
      <c r="D35" s="487"/>
      <c r="E35" s="487"/>
      <c r="F35" s="487"/>
      <c r="G35" s="76"/>
      <c r="H35" s="247"/>
      <c r="I35" s="513"/>
      <c r="J35" s="513"/>
      <c r="K35" s="83"/>
      <c r="L35" s="84"/>
      <c r="N35" s="145"/>
      <c r="O35" s="145"/>
      <c r="P35" s="145"/>
      <c r="Q35" s="63"/>
      <c r="R35" s="63"/>
    </row>
    <row r="36" spans="1:18" ht="20.149999999999999" customHeight="1" x14ac:dyDescent="0.45">
      <c r="A36" s="65"/>
      <c r="B36" s="242"/>
      <c r="C36" s="212"/>
      <c r="G36" s="76"/>
      <c r="H36" s="247"/>
      <c r="I36" s="209"/>
      <c r="J36" s="209"/>
      <c r="K36" s="83"/>
      <c r="L36" s="84"/>
      <c r="N36" s="145"/>
      <c r="O36" s="145"/>
      <c r="P36" s="145"/>
      <c r="Q36" s="63"/>
      <c r="R36" s="63"/>
    </row>
    <row r="37" spans="1:18" ht="20.149999999999999" customHeight="1" x14ac:dyDescent="0.45">
      <c r="A37" s="65"/>
      <c r="B37" s="139"/>
      <c r="C37" s="129"/>
      <c r="D37" s="140"/>
      <c r="E37" s="140"/>
      <c r="F37" s="140"/>
      <c r="G37" s="129"/>
      <c r="H37" s="138"/>
      <c r="I37" s="517"/>
      <c r="J37" s="517"/>
      <c r="K37" s="95"/>
      <c r="L37" s="98"/>
      <c r="M37" s="63"/>
      <c r="N37" s="63"/>
      <c r="Q37" s="63"/>
    </row>
    <row r="38" spans="1:18" ht="20.149999999999999" customHeight="1" thickBot="1" x14ac:dyDescent="0.5">
      <c r="A38" s="65"/>
      <c r="B38" s="141"/>
      <c r="C38" s="76"/>
      <c r="D38" s="65"/>
      <c r="E38" s="65"/>
      <c r="F38" s="65"/>
      <c r="G38" s="76"/>
      <c r="H38" s="82"/>
      <c r="I38" s="76"/>
      <c r="J38" s="76"/>
      <c r="K38" s="83"/>
      <c r="L38" s="84"/>
    </row>
    <row r="39" spans="1:18" ht="20.149999999999999" customHeight="1" x14ac:dyDescent="0.45">
      <c r="A39" s="65"/>
      <c r="B39" s="142" t="s">
        <v>16</v>
      </c>
      <c r="C39" s="135"/>
      <c r="D39" s="135"/>
      <c r="E39" s="135"/>
      <c r="F39" s="135"/>
      <c r="G39" s="135"/>
      <c r="H39" s="135"/>
      <c r="I39" s="135"/>
      <c r="J39" s="515" t="s">
        <v>13</v>
      </c>
      <c r="K39" s="516"/>
      <c r="L39" s="143">
        <f>SUM(L18:L38)</f>
        <v>325.3</v>
      </c>
      <c r="M39" s="63">
        <f>SUM(P18:P38)</f>
        <v>131.19999999999999</v>
      </c>
      <c r="N39" s="133">
        <f>M39/L39</f>
        <v>0.40332001229634179</v>
      </c>
      <c r="Q39" s="133"/>
    </row>
    <row r="40" spans="1:18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v>0</v>
      </c>
      <c r="M40" s="63"/>
    </row>
    <row r="41" spans="1:18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91" t="s">
        <v>19</v>
      </c>
      <c r="K41" s="492"/>
      <c r="L41" s="41">
        <f>L39-L40</f>
        <v>325.3</v>
      </c>
    </row>
    <row r="42" spans="1:18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29.277000000000001</v>
      </c>
    </row>
    <row r="43" spans="1:18" ht="20.149999999999999" customHeight="1" thickBot="1" x14ac:dyDescent="0.5">
      <c r="B43" s="10" t="s">
        <v>676</v>
      </c>
      <c r="C43" s="6"/>
      <c r="D43" s="6"/>
      <c r="E43" s="6"/>
      <c r="F43" s="6"/>
      <c r="G43" s="6"/>
      <c r="H43" s="6"/>
      <c r="I43" s="6"/>
      <c r="J43" s="485" t="s">
        <v>21</v>
      </c>
      <c r="K43" s="486"/>
      <c r="L43" s="43">
        <f>L41+L42</f>
        <v>354.577</v>
      </c>
    </row>
    <row r="44" spans="1:18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1:18" ht="18" customHeight="1" x14ac:dyDescent="0.45">
      <c r="B45" s="144" t="s">
        <v>666</v>
      </c>
      <c r="L45" s="37"/>
    </row>
    <row r="46" spans="1:18" ht="18" customHeight="1" x14ac:dyDescent="0.45">
      <c r="B46" s="36"/>
      <c r="L46" s="37"/>
      <c r="N46" s="176">
        <v>44641</v>
      </c>
      <c r="O46" s="19">
        <v>287.5</v>
      </c>
      <c r="P46" s="19">
        <v>54.36</v>
      </c>
      <c r="Q46" s="133">
        <f>P46/O46</f>
        <v>0.18907826086956522</v>
      </c>
    </row>
    <row r="47" spans="1:18" ht="18" customHeight="1" x14ac:dyDescent="0.45">
      <c r="B47" s="36"/>
      <c r="L47" s="37"/>
      <c r="N47" s="176"/>
      <c r="Q47" s="133"/>
    </row>
    <row r="48" spans="1:18" ht="18" customHeight="1" x14ac:dyDescent="0.45">
      <c r="B48" s="36"/>
      <c r="L48" s="37"/>
      <c r="N48" s="176"/>
      <c r="Q48" s="133"/>
    </row>
    <row r="49" spans="2:17" ht="18" customHeight="1" x14ac:dyDescent="0.45">
      <c r="B49" s="36"/>
      <c r="L49" s="37"/>
      <c r="N49" s="176"/>
      <c r="Q49" s="133"/>
    </row>
    <row r="50" spans="2:17" ht="18" customHeight="1" x14ac:dyDescent="0.45">
      <c r="B50" s="44"/>
      <c r="C50" s="45"/>
      <c r="D50" s="45"/>
      <c r="J50" s="45"/>
      <c r="K50" s="45"/>
      <c r="L50" s="46"/>
    </row>
    <row r="51" spans="2:17" ht="20.149999999999999" customHeight="1" x14ac:dyDescent="0.45">
      <c r="B51" s="36" t="s">
        <v>25</v>
      </c>
      <c r="J51" s="19" t="s">
        <v>26</v>
      </c>
      <c r="L51" s="37"/>
    </row>
    <row r="52" spans="2:17" ht="19" thickBot="1" x14ac:dyDescent="0.5">
      <c r="B52" s="47"/>
      <c r="C52" s="48"/>
      <c r="D52" s="48"/>
      <c r="E52" s="48"/>
      <c r="F52" s="48"/>
      <c r="G52" s="48"/>
      <c r="H52" s="48"/>
      <c r="I52" s="48"/>
      <c r="J52" s="48"/>
      <c r="K52" s="48"/>
      <c r="L52" s="49"/>
    </row>
    <row r="53" spans="2:17" ht="20.5" x14ac:dyDescent="0.45">
      <c r="F53" s="201"/>
    </row>
  </sheetData>
  <mergeCells count="55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26:J26"/>
    <mergeCell ref="D19:F19"/>
    <mergeCell ref="D20:F20"/>
    <mergeCell ref="D17:F17"/>
    <mergeCell ref="I19:J19"/>
    <mergeCell ref="D24:F24"/>
    <mergeCell ref="I24:J24"/>
    <mergeCell ref="I17:J17"/>
    <mergeCell ref="D18:F18"/>
    <mergeCell ref="I18:J18"/>
    <mergeCell ref="D33:F33"/>
    <mergeCell ref="I22:J22"/>
    <mergeCell ref="D29:F29"/>
    <mergeCell ref="D22:F22"/>
    <mergeCell ref="I29:J29"/>
    <mergeCell ref="I25:J25"/>
    <mergeCell ref="D30:F30"/>
    <mergeCell ref="I30:J30"/>
    <mergeCell ref="D25:F25"/>
    <mergeCell ref="D32:F32"/>
    <mergeCell ref="I32:J32"/>
    <mergeCell ref="D27:F27"/>
    <mergeCell ref="I27:J27"/>
    <mergeCell ref="D26:F26"/>
    <mergeCell ref="D23:F23"/>
    <mergeCell ref="I23:J23"/>
    <mergeCell ref="D35:F35"/>
    <mergeCell ref="I35:J35"/>
    <mergeCell ref="I20:J20"/>
    <mergeCell ref="J43:K43"/>
    <mergeCell ref="J39:K39"/>
    <mergeCell ref="J41:K41"/>
    <mergeCell ref="I37:J37"/>
    <mergeCell ref="D34:F34"/>
    <mergeCell ref="I34:J34"/>
    <mergeCell ref="D21:F21"/>
    <mergeCell ref="I21:J21"/>
    <mergeCell ref="I33:J33"/>
    <mergeCell ref="D31:F31"/>
    <mergeCell ref="I31:J31"/>
    <mergeCell ref="D28:F28"/>
    <mergeCell ref="I28:J28"/>
  </mergeCells>
  <hyperlinks>
    <hyperlink ref="B15" r:id="rId1" xr:uid="{865634F9-D25C-4E65-A9D1-13CD95203574}"/>
  </hyperlinks>
  <pageMargins left="0.74803149606299213" right="0" top="0" bottom="0" header="0" footer="0"/>
  <pageSetup paperSize="9" scale="71" orientation="portrait" r:id="rId2"/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3CDA6-A80A-4667-949B-2AFA4E059780}">
  <sheetPr codeName="Sheet166">
    <tabColor rgb="FFFFC000"/>
    <pageSetUpPr fitToPage="1"/>
  </sheetPr>
  <dimension ref="B1:Q44"/>
  <sheetViews>
    <sheetView topLeftCell="A17" zoomScaleNormal="100" workbookViewId="0">
      <selection activeCell="C26" sqref="C26:K2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160</v>
      </c>
      <c r="J10" s="24" t="s">
        <v>27</v>
      </c>
      <c r="K10" s="464">
        <v>202501075</v>
      </c>
      <c r="L10" s="465"/>
    </row>
    <row r="11" spans="2:14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 - Dessert                                     Gourmet Paradise                                  Toa Payoh Lorong 6, Blk 480 #B1-01 Singapore 310480    </v>
      </c>
      <c r="G11" s="470"/>
      <c r="H11" s="471"/>
      <c r="J11" s="26" t="s">
        <v>9</v>
      </c>
      <c r="K11" s="478">
        <v>45660</v>
      </c>
      <c r="L11" s="479"/>
    </row>
    <row r="12" spans="2:14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4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817</v>
      </c>
    </row>
    <row r="14" spans="2:14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7" ht="20.149999999999999" customHeight="1" x14ac:dyDescent="0.45">
      <c r="B18" s="29"/>
      <c r="C18" s="212" t="s">
        <v>698</v>
      </c>
      <c r="D18" s="487" t="str">
        <f>VLOOKUP(C18,'Sales Master'!B$3:D$537,2,)</f>
        <v xml:space="preserve">Fresh Soursop 红毛榴莲 </v>
      </c>
      <c r="E18" s="487"/>
      <c r="F18" s="487"/>
      <c r="G18" s="17">
        <v>1</v>
      </c>
      <c r="H18" s="186" t="str">
        <f>VLOOKUP(C18,'Sales Master'!$B$3:$F$2420,5,0)</f>
        <v>GW:5 KG/ Tub桶</v>
      </c>
      <c r="I18" s="484" t="str">
        <f>VLOOKUP(C18,'Sales Master'!$B$3:$E$2420,4,0)</f>
        <v>DO!</v>
      </c>
      <c r="J18" s="484"/>
      <c r="K18" s="30">
        <f>VLOOKUP(C18,'Sales Master'!$B$3:$AI$537,34,0)</f>
        <v>31</v>
      </c>
      <c r="L18" s="64">
        <f t="shared" ref="L18" si="0">K18*G18</f>
        <v>31</v>
      </c>
      <c r="N18" s="145">
        <f>VLOOKUP(C18,'Sales Master'!$B$3:$DA$2279,104,0)</f>
        <v>25.63</v>
      </c>
      <c r="O18" s="145">
        <f t="shared" ref="O18" si="1">K18-N18</f>
        <v>5.370000000000001</v>
      </c>
      <c r="P18" s="145">
        <f t="shared" ref="P18" si="2">O18*G18</f>
        <v>5.370000000000001</v>
      </c>
      <c r="Q18" s="170"/>
    </row>
    <row r="19" spans="2:17" ht="20.149999999999999" customHeight="1" x14ac:dyDescent="0.45">
      <c r="B19" s="29"/>
      <c r="C19" s="212" t="s">
        <v>717</v>
      </c>
      <c r="D19" s="498" t="str">
        <f>VLOOKUP(C19,'Sales Master'!B$3:D$537,2,)</f>
        <v>Pong Thai Hai (Wet) 碰大海(湿)</v>
      </c>
      <c r="E19" s="498"/>
      <c r="F19" s="498"/>
      <c r="G19" s="17">
        <v>2</v>
      </c>
      <c r="H19" s="186" t="str">
        <f>VLOOKUP(C19,'Sales Master'!$B$3:$F$2420,5,0)</f>
        <v>1 KG/ Pkt包</v>
      </c>
      <c r="I19" s="484" t="str">
        <f>VLOOKUP(C19,'Sales Master'!$B$3:$E$2420,4,0)</f>
        <v>DO!</v>
      </c>
      <c r="J19" s="484"/>
      <c r="K19" s="30">
        <f>VLOOKUP(C19,'Sales Master'!$B$3:$AI$537,34,0)</f>
        <v>10</v>
      </c>
      <c r="L19" s="64">
        <f>K19*G19</f>
        <v>20</v>
      </c>
      <c r="N19" s="145">
        <f>VLOOKUP(C19,'Sales Master'!$B$3:$DA$2279,104,0)</f>
        <v>0.9</v>
      </c>
      <c r="O19" s="145">
        <f>K19-N19</f>
        <v>9.1</v>
      </c>
      <c r="P19" s="145">
        <f>O19*G19</f>
        <v>18.2</v>
      </c>
      <c r="Q19" s="170"/>
    </row>
    <row r="20" spans="2:17" ht="20.149999999999999" customHeight="1" x14ac:dyDescent="0.45">
      <c r="B20" s="29"/>
      <c r="C20" s="212" t="s">
        <v>846</v>
      </c>
      <c r="D20" s="487" t="str">
        <f>VLOOKUP(C20,'Sales Master'!B$3:D$537,2,)</f>
        <v>Pearl Barley 薏米</v>
      </c>
      <c r="E20" s="487"/>
      <c r="F20" s="487"/>
      <c r="G20" s="17">
        <v>2</v>
      </c>
      <c r="H20" s="186" t="str">
        <f>VLOOKUP(C20,'Sales Master'!$B$3:$F$2420,5,0)</f>
        <v>5 KG</v>
      </c>
      <c r="I20" s="484" t="str">
        <f>VLOOKUP(C20,'Sales Master'!$B$3:$E$2420,4,0)</f>
        <v>-</v>
      </c>
      <c r="J20" s="484"/>
      <c r="K20" s="30">
        <f>VLOOKUP(C20,'Sales Master'!$B$3:$AI$537,34,0)</f>
        <v>10</v>
      </c>
      <c r="L20" s="64">
        <f>K20*G20</f>
        <v>20</v>
      </c>
      <c r="N20" s="145">
        <f>VLOOKUP(C20,'Sales Master'!$B$3:$DA$2279,104,0)</f>
        <v>7.6</v>
      </c>
      <c r="O20" s="145">
        <f>K20-N20</f>
        <v>2.4000000000000004</v>
      </c>
      <c r="P20" s="145">
        <f>O20*G20</f>
        <v>4.8000000000000007</v>
      </c>
      <c r="Q20" s="170"/>
    </row>
    <row r="21" spans="2:17" ht="20.149999999999999" customHeight="1" x14ac:dyDescent="0.45">
      <c r="B21" s="29"/>
      <c r="C21" s="212" t="s">
        <v>1180</v>
      </c>
      <c r="D21" s="487" t="str">
        <f>VLOOKUP(C21,'Sales Master'!B$3:D$537,2,)</f>
        <v>Water Chestnut 马蹄罐</v>
      </c>
      <c r="E21" s="487"/>
      <c r="F21" s="487"/>
      <c r="G21" s="17">
        <v>1</v>
      </c>
      <c r="H21" s="186" t="str">
        <f>VLOOKUP(C21,'Sales Master'!$B$3:$F$2420,5,0)</f>
        <v>(567gm x 24)/ Ctn箱</v>
      </c>
      <c r="I21" s="484" t="str">
        <f>VLOOKUP(C21,'Sales Master'!$B$3:$E$2420,4,0)</f>
        <v>GOLDEN CHAMP</v>
      </c>
      <c r="J21" s="484"/>
      <c r="K21" s="30">
        <f>VLOOKUP(C21,'Sales Master'!$B$3:$AI$537,34,0)</f>
        <v>34</v>
      </c>
      <c r="L21" s="64">
        <f>K21*G21</f>
        <v>34</v>
      </c>
      <c r="N21" s="145">
        <f>VLOOKUP(C21,'Sales Master'!$B$3:$DA$2279,104,0)</f>
        <v>27</v>
      </c>
      <c r="O21" s="145">
        <f>K21-N21</f>
        <v>7</v>
      </c>
      <c r="P21" s="145">
        <f>O21*G21</f>
        <v>7</v>
      </c>
      <c r="Q21" s="170"/>
    </row>
    <row r="22" spans="2:17" ht="20.149999999999999" customHeight="1" x14ac:dyDescent="0.45">
      <c r="B22" s="29"/>
      <c r="C22" s="212" t="s">
        <v>2198</v>
      </c>
      <c r="D22" s="487" t="str">
        <f>VLOOKUP(C22,'Sales Master'!B$3:D$537,2,)</f>
        <v>Sea Coconut 海底椰</v>
      </c>
      <c r="E22" s="487"/>
      <c r="F22" s="487"/>
      <c r="G22" s="17">
        <v>1</v>
      </c>
      <c r="H22" s="186" t="str">
        <f>VLOOKUP(C22,'Sales Master'!$B$3:$F$2420,5,0)</f>
        <v>(565gm x 12)/ Ctn箱</v>
      </c>
      <c r="I22" s="484" t="str">
        <f>VLOOKUP(C22,'Sales Master'!$B$3:$E$2420,4,0)</f>
        <v>GoldenBoy</v>
      </c>
      <c r="J22" s="484"/>
      <c r="K22" s="30">
        <f>VLOOKUP(C22,'Sales Master'!$B$3:$AI$537,34,0)</f>
        <v>34</v>
      </c>
      <c r="L22" s="64">
        <f t="shared" ref="L22" si="3">K22*G22</f>
        <v>34</v>
      </c>
      <c r="N22" s="145">
        <f>VLOOKUP(C22,'Sales Master'!$B$3:$DA$2279,104,0)</f>
        <v>28</v>
      </c>
      <c r="O22" s="145">
        <f t="shared" ref="O22" si="4">K22-N22</f>
        <v>6</v>
      </c>
      <c r="P22" s="145">
        <f t="shared" ref="P22" si="5">O22*G22</f>
        <v>6</v>
      </c>
      <c r="Q22" s="170"/>
    </row>
    <row r="23" spans="2:17" ht="20.149999999999999" customHeight="1" x14ac:dyDescent="0.45">
      <c r="B23" s="29"/>
      <c r="C23" s="212"/>
      <c r="D23" s="487"/>
      <c r="E23" s="487"/>
      <c r="F23" s="487"/>
      <c r="G23" s="17"/>
      <c r="H23" s="186"/>
      <c r="I23" s="484"/>
      <c r="J23" s="484"/>
      <c r="K23" s="30"/>
      <c r="L23" s="64"/>
      <c r="N23" s="145"/>
      <c r="O23" s="145"/>
      <c r="P23" s="145"/>
      <c r="Q23" s="170"/>
    </row>
    <row r="24" spans="2:17" ht="20.149999999999999" customHeight="1" x14ac:dyDescent="0.45">
      <c r="B24" s="29"/>
      <c r="C24" s="212"/>
      <c r="D24" s="487"/>
      <c r="E24" s="487"/>
      <c r="F24" s="487"/>
      <c r="G24" s="17"/>
      <c r="H24" s="186"/>
      <c r="I24" s="484"/>
      <c r="J24" s="484"/>
      <c r="K24" s="30"/>
      <c r="L24" s="64"/>
      <c r="N24" s="145"/>
      <c r="O24" s="145"/>
      <c r="P24" s="145"/>
      <c r="Q24" s="170"/>
    </row>
    <row r="25" spans="2:17" ht="20.149999999999999" customHeight="1" x14ac:dyDescent="0.45">
      <c r="B25" s="29"/>
      <c r="C25" s="212"/>
      <c r="D25" s="487"/>
      <c r="E25" s="487"/>
      <c r="F25" s="487"/>
      <c r="G25" s="17"/>
      <c r="H25" s="186"/>
      <c r="I25" s="484"/>
      <c r="J25" s="484"/>
      <c r="K25" s="30"/>
      <c r="L25" s="64"/>
      <c r="N25" s="145"/>
      <c r="O25" s="145"/>
      <c r="P25" s="145"/>
      <c r="Q25" s="170"/>
    </row>
    <row r="26" spans="2:17" ht="20.149999999999999" customHeight="1" x14ac:dyDescent="0.45">
      <c r="B26" s="29"/>
      <c r="C26" s="149" t="s">
        <v>2271</v>
      </c>
      <c r="D26" s="403"/>
      <c r="E26" s="403"/>
      <c r="F26" s="403"/>
      <c r="G26" s="76"/>
      <c r="H26" s="186"/>
      <c r="I26" s="484"/>
      <c r="J26" s="484"/>
      <c r="K26" s="190"/>
      <c r="L26" s="64"/>
      <c r="N26" s="145"/>
      <c r="O26" s="145"/>
      <c r="P26" s="145"/>
      <c r="Q26" s="170"/>
    </row>
    <row r="27" spans="2:17" ht="20.149999999999999" customHeight="1" x14ac:dyDescent="0.45">
      <c r="B27" s="29"/>
      <c r="C27" s="212" t="s">
        <v>966</v>
      </c>
      <c r="D27" s="493" t="e">
        <f>VLOOKUP(C27,#REF!,2,0)</f>
        <v>#REF!</v>
      </c>
      <c r="E27" s="493"/>
      <c r="F27" s="493"/>
      <c r="G27" s="17">
        <v>1</v>
      </c>
      <c r="H27" s="186" t="e">
        <f>VLOOKUP(C27,#REF!,5,0)</f>
        <v>#REF!</v>
      </c>
      <c r="I27" s="484" t="e">
        <f>VLOOKUP(C27,#REF!,4,0)</f>
        <v>#REF!</v>
      </c>
      <c r="J27" s="484"/>
      <c r="K27" s="190">
        <v>48</v>
      </c>
      <c r="L27" s="64"/>
      <c r="N27" s="145"/>
      <c r="O27" s="145"/>
      <c r="P27" s="145"/>
      <c r="Q27" s="170"/>
    </row>
    <row r="28" spans="2:17" ht="20.149999999999999" customHeight="1" x14ac:dyDescent="0.45">
      <c r="B28" s="29"/>
      <c r="C28" s="212"/>
      <c r="D28" s="487"/>
      <c r="E28" s="487"/>
      <c r="F28" s="487"/>
      <c r="G28" s="17"/>
      <c r="H28" s="186"/>
      <c r="I28" s="484"/>
      <c r="J28" s="484"/>
      <c r="K28" s="30"/>
      <c r="L28" s="64"/>
      <c r="N28" s="145"/>
      <c r="O28" s="145"/>
      <c r="P28" s="145"/>
      <c r="Q28" s="170"/>
    </row>
    <row r="29" spans="2:17" ht="20.149999999999999" customHeight="1" x14ac:dyDescent="0.45">
      <c r="B29" s="29"/>
      <c r="G29" s="17"/>
      <c r="H29" s="186"/>
      <c r="I29" s="208"/>
      <c r="J29" s="208"/>
      <c r="K29" s="30"/>
      <c r="L29" s="64"/>
      <c r="N29" s="145"/>
      <c r="O29" s="145"/>
      <c r="P29" s="145"/>
      <c r="Q29" s="170"/>
    </row>
    <row r="30" spans="2:17" ht="20.149999999999999" customHeight="1" thickBot="1" x14ac:dyDescent="0.5">
      <c r="B30" s="32"/>
      <c r="C30" s="33"/>
      <c r="D30" s="488"/>
      <c r="E30" s="488"/>
      <c r="F30" s="488"/>
      <c r="G30" s="33"/>
      <c r="H30" s="33"/>
      <c r="I30" s="33"/>
      <c r="J30" s="33"/>
      <c r="K30" s="34"/>
      <c r="L30" s="35"/>
    </row>
    <row r="31" spans="2:17" ht="20.149999999999999" customHeight="1" thickBot="1" x14ac:dyDescent="0.5">
      <c r="B31" s="36"/>
      <c r="L31" s="37"/>
    </row>
    <row r="32" spans="2:17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89" t="s">
        <v>13</v>
      </c>
      <c r="K32" s="490"/>
      <c r="L32" s="38">
        <f>SUM(L16:L30)</f>
        <v>139</v>
      </c>
      <c r="M32" s="63">
        <f>SUM(P18:P30)-L32*0.04</f>
        <v>35.81</v>
      </c>
      <c r="N32" s="133">
        <f>M32/L32</f>
        <v>0.25762589928057555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91" t="s">
        <v>19</v>
      </c>
      <c r="K34" s="492"/>
      <c r="L34" s="41">
        <f>L32-L33</f>
        <v>139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12.51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85" t="s">
        <v>21</v>
      </c>
      <c r="K36" s="486"/>
      <c r="L36" s="43">
        <f>L34+L35</f>
        <v>151.51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0">
    <mergeCell ref="J36:K36"/>
    <mergeCell ref="I26:J26"/>
    <mergeCell ref="I27:J27"/>
    <mergeCell ref="J34:K34"/>
    <mergeCell ref="I17:J17"/>
    <mergeCell ref="I22:J22"/>
    <mergeCell ref="I20:J20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D18:F18"/>
    <mergeCell ref="I24:J24"/>
    <mergeCell ref="I23:J23"/>
    <mergeCell ref="I18:J18"/>
    <mergeCell ref="D19:F19"/>
    <mergeCell ref="I19:J19"/>
    <mergeCell ref="D24:F24"/>
    <mergeCell ref="D22:F22"/>
    <mergeCell ref="D21:F21"/>
    <mergeCell ref="D20:F20"/>
    <mergeCell ref="D23:F23"/>
    <mergeCell ref="D25:F25"/>
    <mergeCell ref="I25:J25"/>
    <mergeCell ref="D30:F30"/>
    <mergeCell ref="J32:K32"/>
    <mergeCell ref="I28:J28"/>
    <mergeCell ref="D28:F28"/>
    <mergeCell ref="D27:F27"/>
  </mergeCells>
  <conditionalFormatting sqref="C26">
    <cfRule type="duplicateValues" dxfId="231" priority="1"/>
  </conditionalFormatting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F62FF-03C4-45D5-8F11-B8D36BDAA717}">
  <sheetPr codeName="Sheet52">
    <tabColor rgb="FF7030A0"/>
    <pageSetUpPr fitToPage="1"/>
  </sheetPr>
  <dimension ref="B1:S42"/>
  <sheetViews>
    <sheetView topLeftCell="B12" zoomScaleNormal="100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26953125" style="19" customWidth="1"/>
    <col min="7" max="7" width="8.54296875" style="19" customWidth="1"/>
    <col min="8" max="8" width="20.17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9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9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9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9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  <c r="N4" s="19" t="s">
        <v>1320</v>
      </c>
    </row>
    <row r="5" spans="2:19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9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9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9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9" ht="19" thickBot="1" x14ac:dyDescent="0.5">
      <c r="B9" s="18"/>
    </row>
    <row r="10" spans="2:19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161</v>
      </c>
      <c r="J10" s="24" t="s">
        <v>27</v>
      </c>
      <c r="K10" s="464">
        <v>202501188</v>
      </c>
      <c r="L10" s="465"/>
      <c r="N10" s="149" t="s">
        <v>1143</v>
      </c>
      <c r="R10" s="146"/>
      <c r="S10" s="56"/>
    </row>
    <row r="11" spans="2:19" ht="20.149999999999999" customHeight="1" x14ac:dyDescent="0.45">
      <c r="B11" s="545" t="s">
        <v>128</v>
      </c>
      <c r="C11" s="546"/>
      <c r="D11" s="547"/>
      <c r="E11" s="25"/>
      <c r="F11" s="469" t="str">
        <f>VLOOKUP(H10,'Delivery Location'!A$4:N$466,2,0)</f>
        <v>NEW TRENDS                                                  Stall :  Blk 75, Toa Payoh 5, Food Centre #01-23, Singapore 310075</v>
      </c>
      <c r="G11" s="470"/>
      <c r="H11" s="471"/>
      <c r="J11" s="26" t="s">
        <v>9</v>
      </c>
      <c r="K11" s="478">
        <v>45665</v>
      </c>
      <c r="L11" s="479"/>
    </row>
    <row r="12" spans="2:19" ht="20.149999999999999" customHeight="1" x14ac:dyDescent="0.45">
      <c r="B12" s="480" t="s">
        <v>660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9" ht="20.149999999999999" customHeight="1" x14ac:dyDescent="0.45">
      <c r="B13" s="480" t="s">
        <v>692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9" ht="20.149999999999999" customHeight="1" x14ac:dyDescent="0.45">
      <c r="B14" s="480" t="s">
        <v>661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9" ht="18" customHeight="1" thickBot="1" x14ac:dyDescent="0.5">
      <c r="B15" s="508"/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</row>
    <row r="16" spans="2:19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8" ht="20.149999999999999" customHeight="1" x14ac:dyDescent="0.45">
      <c r="B18" s="258"/>
      <c r="C18" s="212" t="s">
        <v>713</v>
      </c>
      <c r="D18" s="487" t="str">
        <f>VLOOKUP(C18,'Sales Master'!B$3:D$537,2,)</f>
        <v>Chendol 浆咯</v>
      </c>
      <c r="E18" s="487"/>
      <c r="F18" s="487"/>
      <c r="G18" s="76">
        <v>3</v>
      </c>
      <c r="H18" s="186" t="str">
        <f>VLOOKUP(C18,'Sales Master'!$B$3:$F$2488,5,0)</f>
        <v>NW(2.2:0.8) 3kg/ Pkt包</v>
      </c>
      <c r="I18" s="484" t="str">
        <f>VLOOKUP(C18,'Sales Master'!$B$3:$E$2488,4,0)</f>
        <v>DO!</v>
      </c>
      <c r="J18" s="484"/>
      <c r="K18" s="80">
        <f>VLOOKUP(C18,'Sales Master'!B$3:L$2403,11,0)</f>
        <v>7.5</v>
      </c>
      <c r="L18" s="64">
        <f>K18*G18</f>
        <v>22.5</v>
      </c>
      <c r="M18" s="65"/>
      <c r="N18" s="145">
        <f>VLOOKUP(C18,'Sales Master'!$B$3:$DA$2279,104,0)</f>
        <v>2.44</v>
      </c>
      <c r="O18" s="145">
        <f>K18-N18</f>
        <v>5.0600000000000005</v>
      </c>
      <c r="P18" s="145">
        <f>O18*G18</f>
        <v>15.180000000000001</v>
      </c>
    </row>
    <row r="19" spans="2:18" ht="20.149999999999999" customHeight="1" x14ac:dyDescent="0.45">
      <c r="B19" s="29"/>
      <c r="C19" s="212" t="s">
        <v>697</v>
      </c>
      <c r="D19" s="487" t="str">
        <f>VLOOKUP(C19,'Sales Master'!B$3:D$537,2,)</f>
        <v xml:space="preserve">Fresh Soursop 红毛榴莲 </v>
      </c>
      <c r="E19" s="487"/>
      <c r="F19" s="487"/>
      <c r="G19" s="76">
        <v>2</v>
      </c>
      <c r="H19" s="186" t="str">
        <f>VLOOKUP(C19,'Sales Master'!$B$3:$F$2488,5,0)</f>
        <v>GW:5 KG/ Pkt包</v>
      </c>
      <c r="I19" s="484" t="str">
        <f>VLOOKUP(C19,'Sales Master'!$B$3:$E$2488,4,0)</f>
        <v>DO!</v>
      </c>
      <c r="J19" s="484"/>
      <c r="K19" s="80">
        <f>VLOOKUP(C19,'Sales Master'!B$3:L$2403,11,0)</f>
        <v>35</v>
      </c>
      <c r="L19" s="64">
        <f>K19*G19</f>
        <v>70</v>
      </c>
      <c r="M19" s="65"/>
      <c r="N19" s="145">
        <f>VLOOKUP(C19,'Sales Master'!$B$3:$DA$2279,104,0)</f>
        <v>24.39</v>
      </c>
      <c r="O19" s="145">
        <f>K19-N19</f>
        <v>10.61</v>
      </c>
      <c r="P19" s="145">
        <f>O19*G19</f>
        <v>21.22</v>
      </c>
    </row>
    <row r="20" spans="2:18" ht="20.149999999999999" customHeight="1" x14ac:dyDescent="0.45">
      <c r="B20" s="185"/>
      <c r="C20" s="212" t="s">
        <v>733</v>
      </c>
      <c r="D20" s="487" t="str">
        <f>VLOOKUP(C20,'Sales Master'!B$3:D$537,2,)</f>
        <v>Tadpole JELLY  蝌蚪</v>
      </c>
      <c r="E20" s="487"/>
      <c r="F20" s="487"/>
      <c r="G20" s="76">
        <v>1</v>
      </c>
      <c r="H20" s="186" t="str">
        <f>VLOOKUP(C20,'Sales Master'!$B$3:$F$2488,5,0)</f>
        <v>1 KG/ Bag包</v>
      </c>
      <c r="I20" s="484" t="str">
        <f>VLOOKUP(C20,'Sales Master'!$B$3:$E$2488,4,0)</f>
        <v>FJ</v>
      </c>
      <c r="J20" s="484"/>
      <c r="K20" s="80">
        <f>VLOOKUP(C20,'Sales Master'!B$3:L$2403,11,0)</f>
        <v>6.5</v>
      </c>
      <c r="L20" s="64">
        <f>K20*G20</f>
        <v>6.5</v>
      </c>
      <c r="M20" s="65"/>
      <c r="N20" s="145">
        <f>VLOOKUP(C20,'Sales Master'!$B$3:$DA$2279,104,0)</f>
        <v>5.5</v>
      </c>
      <c r="O20" s="145">
        <f>K20-N20</f>
        <v>1</v>
      </c>
      <c r="P20" s="145">
        <f>O20*G20</f>
        <v>1</v>
      </c>
    </row>
    <row r="21" spans="2:18" ht="20.149999999999999" customHeight="1" x14ac:dyDescent="0.45">
      <c r="B21" s="29"/>
      <c r="C21" s="212" t="s">
        <v>804</v>
      </c>
      <c r="D21" s="487" t="str">
        <f>VLOOKUP(C21,'Sales Master'!B$3:D$537,2,)</f>
        <v>Atap Seeds in Syrup 亚嗒子</v>
      </c>
      <c r="E21" s="487"/>
      <c r="F21" s="487"/>
      <c r="G21" s="76">
        <v>2</v>
      </c>
      <c r="H21" s="186" t="str">
        <f>VLOOKUP(C21,'Sales Master'!$B$3:$F$2488,5,0)</f>
        <v>NW(2.1:0.9) 3kg/ Bag包</v>
      </c>
      <c r="I21" s="484" t="str">
        <f>VLOOKUP(C21,'Sales Master'!$B$3:$E$2488,4,0)</f>
        <v>DO!</v>
      </c>
      <c r="J21" s="484"/>
      <c r="K21" s="80">
        <f>VLOOKUP(C21,'Sales Master'!B$3:L$2403,11,0)</f>
        <v>13.8</v>
      </c>
      <c r="L21" s="64">
        <f>K21*G21</f>
        <v>27.6</v>
      </c>
      <c r="M21" s="65"/>
      <c r="N21" s="145">
        <f>VLOOKUP(C21,'Sales Master'!$B$3:$DA$2279,104,0)</f>
        <v>9.6</v>
      </c>
      <c r="O21" s="145">
        <f>K21-N21</f>
        <v>4.2000000000000011</v>
      </c>
      <c r="P21" s="145">
        <f>O21*G21</f>
        <v>8.4000000000000021</v>
      </c>
    </row>
    <row r="22" spans="2:18" ht="20.149999999999999" customHeight="1" x14ac:dyDescent="0.45">
      <c r="B22" s="29"/>
      <c r="C22" s="212"/>
      <c r="D22" s="487"/>
      <c r="E22" s="487"/>
      <c r="F22" s="487"/>
      <c r="G22" s="76"/>
      <c r="H22" s="186"/>
      <c r="I22" s="484"/>
      <c r="J22" s="484"/>
      <c r="K22" s="80"/>
      <c r="L22" s="64"/>
      <c r="M22" s="65"/>
      <c r="N22" s="145"/>
      <c r="O22" s="145"/>
      <c r="P22" s="145"/>
    </row>
    <row r="23" spans="2:18" ht="20.149999999999999" customHeight="1" x14ac:dyDescent="0.45">
      <c r="B23" s="29"/>
      <c r="C23" s="212"/>
      <c r="D23" s="487"/>
      <c r="E23" s="487"/>
      <c r="F23" s="487"/>
      <c r="G23" s="76"/>
      <c r="H23" s="186"/>
      <c r="I23" s="484"/>
      <c r="J23" s="484"/>
      <c r="K23" s="80"/>
      <c r="L23" s="64"/>
      <c r="M23" s="65"/>
      <c r="N23" s="145"/>
      <c r="O23" s="145"/>
      <c r="P23" s="145"/>
    </row>
    <row r="24" spans="2:18" ht="20.149999999999999" customHeight="1" x14ac:dyDescent="0.45">
      <c r="B24" s="29"/>
      <c r="C24" s="212"/>
      <c r="D24" s="487"/>
      <c r="E24" s="487"/>
      <c r="F24" s="487"/>
      <c r="G24" s="76"/>
      <c r="H24" s="186"/>
      <c r="I24" s="484"/>
      <c r="J24" s="484"/>
      <c r="K24" s="190"/>
      <c r="L24" s="64"/>
      <c r="M24" s="65"/>
      <c r="N24" s="145"/>
      <c r="O24" s="145"/>
      <c r="P24" s="145"/>
      <c r="R24" s="19">
        <v>1</v>
      </c>
    </row>
    <row r="25" spans="2:18" ht="20.149999999999999" customHeight="1" x14ac:dyDescent="0.45">
      <c r="B25" s="29"/>
      <c r="L25" s="84"/>
      <c r="M25" s="65"/>
    </row>
    <row r="26" spans="2:18" ht="20.149999999999999" customHeight="1" x14ac:dyDescent="0.45">
      <c r="B26" s="29"/>
      <c r="L26" s="64"/>
      <c r="M26" s="65"/>
    </row>
    <row r="27" spans="2:18" ht="20.149999999999999" customHeight="1" x14ac:dyDescent="0.45">
      <c r="B27" s="29"/>
      <c r="C27" s="17"/>
      <c r="D27" s="487"/>
      <c r="E27" s="487"/>
      <c r="F27" s="487"/>
      <c r="G27" s="76"/>
      <c r="H27" s="186"/>
      <c r="I27" s="484"/>
      <c r="J27" s="484"/>
      <c r="K27" s="80"/>
      <c r="L27" s="64"/>
      <c r="M27" s="65"/>
    </row>
    <row r="28" spans="2:18" ht="20.149999999999999" customHeight="1" thickBot="1" x14ac:dyDescent="0.5">
      <c r="B28" s="32"/>
      <c r="C28" s="33"/>
      <c r="D28" s="488"/>
      <c r="E28" s="488"/>
      <c r="F28" s="488"/>
      <c r="G28" s="33"/>
      <c r="H28" s="57"/>
      <c r="I28" s="459"/>
      <c r="J28" s="459"/>
      <c r="K28" s="34"/>
      <c r="L28" s="35"/>
    </row>
    <row r="29" spans="2:18" ht="20.149999999999999" customHeight="1" thickBot="1" x14ac:dyDescent="0.5">
      <c r="B29" s="36"/>
      <c r="L29" s="37"/>
    </row>
    <row r="30" spans="2:18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SUM(L18:L28)</f>
        <v>126.6</v>
      </c>
      <c r="M30" s="63">
        <f>SUM(P18:P28)</f>
        <v>45.8</v>
      </c>
      <c r="N30" s="133">
        <f>M30/L30</f>
        <v>0.3617693522906793</v>
      </c>
    </row>
    <row r="31" spans="2:18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8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126.6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11.393999999999998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137.994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6">
    <mergeCell ref="I21:J21"/>
    <mergeCell ref="D23:F23"/>
    <mergeCell ref="I23:J23"/>
    <mergeCell ref="D18:F18"/>
    <mergeCell ref="I18:J18"/>
    <mergeCell ref="I22:J22"/>
    <mergeCell ref="D22:F22"/>
    <mergeCell ref="D20:F20"/>
    <mergeCell ref="I20:J20"/>
    <mergeCell ref="D19:F19"/>
    <mergeCell ref="I19:J19"/>
    <mergeCell ref="B1:L8"/>
    <mergeCell ref="D21:F21"/>
    <mergeCell ref="D17:F17"/>
    <mergeCell ref="I17:J17"/>
    <mergeCell ref="K10:L10"/>
    <mergeCell ref="B11:D11"/>
    <mergeCell ref="F11:H15"/>
    <mergeCell ref="B14:D14"/>
    <mergeCell ref="K11:L11"/>
    <mergeCell ref="B12:D12"/>
    <mergeCell ref="K12:L12"/>
    <mergeCell ref="K13:L13"/>
    <mergeCell ref="K14:L14"/>
    <mergeCell ref="K15:L15"/>
    <mergeCell ref="B13:D13"/>
    <mergeCell ref="B15:D15"/>
    <mergeCell ref="D27:F27"/>
    <mergeCell ref="I27:J27"/>
    <mergeCell ref="D24:F24"/>
    <mergeCell ref="I24:J24"/>
    <mergeCell ref="J34:K34"/>
    <mergeCell ref="D28:F28"/>
    <mergeCell ref="I28:J28"/>
    <mergeCell ref="J30:K30"/>
    <mergeCell ref="J32:K32"/>
  </mergeCells>
  <conditionalFormatting sqref="C27">
    <cfRule type="duplicateValues" dxfId="230" priority="4"/>
    <cfRule type="duplicateValues" dxfId="229" priority="1025"/>
  </conditionalFormatting>
  <pageMargins left="0.70866141732283472" right="0.31496062992125984" top="0.23622047244094491" bottom="0.23622047244094491" header="0.31496062992125984" footer="0.31496062992125984"/>
  <pageSetup paperSize="9" scale="73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E3DB7-D0F1-4A97-8DEE-26D4B9F3C57B}">
  <sheetPr codeName="Sheet14">
    <tabColor rgb="FF7030A0"/>
    <pageSetUpPr fitToPage="1"/>
  </sheetPr>
  <dimension ref="B1:P42"/>
  <sheetViews>
    <sheetView topLeftCell="A10" workbookViewId="0">
      <selection activeCell="K12" sqref="K12:L1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3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346">
        <f>'#01'!M1</f>
        <v>0.09</v>
      </c>
    </row>
    <row r="2" spans="2:13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3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3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3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3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3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3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69</v>
      </c>
      <c r="J10" s="24" t="s">
        <v>27</v>
      </c>
      <c r="K10" s="464">
        <v>202407376</v>
      </c>
      <c r="L10" s="465"/>
    </row>
    <row r="11" spans="2:13" ht="20.149999999999999" customHeight="1" x14ac:dyDescent="0.45">
      <c r="B11" s="466" t="s">
        <v>1154</v>
      </c>
      <c r="C11" s="467"/>
      <c r="D11" s="468"/>
      <c r="E11" s="25"/>
      <c r="F11" s="469" t="str">
        <f>VLOOKUP(H10,'[1]Delivery Location'!A$4:N$423,2,0)</f>
        <v>Koufu Rasapura Masters                    2, Bayfront Avenue #B2-49A/50A Singapore 018972                               (Drink)</v>
      </c>
      <c r="G11" s="470"/>
      <c r="H11" s="471"/>
      <c r="J11" s="26" t="s">
        <v>9</v>
      </c>
      <c r="K11" s="478">
        <v>45489</v>
      </c>
      <c r="L11" s="479"/>
    </row>
    <row r="12" spans="2:13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2061</v>
      </c>
      <c r="L12" s="483"/>
    </row>
    <row r="13" spans="2:13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424</v>
      </c>
      <c r="L13" s="483"/>
    </row>
    <row r="14" spans="2:13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3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3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846</v>
      </c>
      <c r="D18" s="487" t="str">
        <f>VLOOKUP(C18,'Sales Master'!B$3:D$537,2,)</f>
        <v>Pearl Barley 薏米</v>
      </c>
      <c r="E18" s="487"/>
      <c r="F18" s="487"/>
      <c r="G18" s="17">
        <v>5</v>
      </c>
      <c r="H18" s="186" t="str">
        <f>VLOOKUP(C18,'Sales Master'!$B$3:$F$2420,5,0)</f>
        <v>5 KG</v>
      </c>
      <c r="I18" s="484" t="str">
        <f>VLOOKUP(C18,'Sales Master'!$B$3:$E$2420,4,0)</f>
        <v>-</v>
      </c>
      <c r="J18" s="484"/>
      <c r="K18" s="30">
        <f>VLOOKUP(C18,'Sales Master'!$B$3:$J$537,9,0)</f>
        <v>10</v>
      </c>
      <c r="L18" s="64">
        <f>K18*G18</f>
        <v>50</v>
      </c>
      <c r="N18" s="145">
        <f>VLOOKUP(C18,'Sales Master'!$B$3:$DA$2279,104,0)</f>
        <v>7.6</v>
      </c>
      <c r="O18" s="145">
        <f>K18-N18</f>
        <v>2.4000000000000004</v>
      </c>
      <c r="P18" s="145">
        <f>O18*G18</f>
        <v>12.000000000000002</v>
      </c>
    </row>
    <row r="19" spans="2:16" ht="20.149999999999999" customHeight="1" x14ac:dyDescent="0.45">
      <c r="B19" s="29"/>
      <c r="C19" s="212" t="s">
        <v>998</v>
      </c>
      <c r="D19" s="487" t="str">
        <f>VLOOKUP(C19,'Sales Master'!B$3:D$537,2,)</f>
        <v>Candy Sugar 片糖</v>
      </c>
      <c r="E19" s="487"/>
      <c r="F19" s="487"/>
      <c r="G19" s="17">
        <v>1</v>
      </c>
      <c r="H19" s="186" t="str">
        <f>VLOOKUP(C19,'Sales Master'!$B$3:$F$2420,5,0)</f>
        <v>400 GM x 50 pkt/ Ctn</v>
      </c>
      <c r="I19" s="484" t="str">
        <f>VLOOKUP(C19,'Sales Master'!$B$3:$E$2420,4,0)</f>
        <v>-</v>
      </c>
      <c r="J19" s="484"/>
      <c r="K19" s="30">
        <f>VLOOKUP(C19,'Sales Master'!$B$3:$J$537,9,0)</f>
        <v>45</v>
      </c>
      <c r="L19" s="64">
        <f>K19*G19</f>
        <v>45</v>
      </c>
      <c r="N19" s="145">
        <f>VLOOKUP(C19,'Sales Master'!$B$3:$DA$2279,104,0)</f>
        <v>40</v>
      </c>
      <c r="O19" s="145">
        <f>K19-N19</f>
        <v>5</v>
      </c>
      <c r="P19" s="145">
        <f>O19*G19</f>
        <v>5</v>
      </c>
    </row>
    <row r="20" spans="2:16" ht="20.149999999999999" customHeight="1" x14ac:dyDescent="0.45">
      <c r="B20" s="29"/>
      <c r="C20" s="212"/>
      <c r="D20" s="487"/>
      <c r="E20" s="487"/>
      <c r="F20" s="487"/>
      <c r="G20" s="17"/>
      <c r="H20" s="186"/>
      <c r="I20" s="484"/>
      <c r="J20" s="484"/>
      <c r="K20" s="30"/>
      <c r="L20" s="64"/>
      <c r="N20" s="145"/>
      <c r="O20" s="145"/>
      <c r="P20" s="145"/>
    </row>
    <row r="21" spans="2:16" ht="20.149999999999999" customHeight="1" x14ac:dyDescent="0.45">
      <c r="B21" s="29"/>
      <c r="C21" s="212"/>
      <c r="D21" s="487"/>
      <c r="E21" s="487"/>
      <c r="F21" s="487"/>
      <c r="G21" s="17"/>
      <c r="H21" s="186"/>
      <c r="I21" s="484"/>
      <c r="J21" s="484"/>
      <c r="K21" s="30"/>
      <c r="L21" s="64"/>
      <c r="N21" s="145"/>
      <c r="O21" s="145"/>
      <c r="P21" s="145"/>
    </row>
    <row r="22" spans="2:16" ht="20.149999999999999" customHeight="1" x14ac:dyDescent="0.45">
      <c r="B22" s="29"/>
      <c r="C22" s="17"/>
      <c r="D22" s="487"/>
      <c r="E22" s="487"/>
      <c r="F22" s="487"/>
      <c r="G22" s="17"/>
      <c r="H22" s="56"/>
      <c r="I22" s="458"/>
      <c r="J22" s="458"/>
      <c r="K22" s="30"/>
      <c r="L22" s="31"/>
    </row>
    <row r="23" spans="2:16" ht="20.149999999999999" customHeight="1" x14ac:dyDescent="0.45">
      <c r="B23" s="29"/>
      <c r="C23" s="17"/>
      <c r="D23" s="487"/>
      <c r="E23" s="487"/>
      <c r="F23" s="487"/>
      <c r="G23" s="17"/>
      <c r="H23" s="56"/>
      <c r="I23" s="458"/>
      <c r="J23" s="458"/>
      <c r="K23" s="30"/>
      <c r="L23" s="31"/>
    </row>
    <row r="24" spans="2:16" ht="20.149999999999999" customHeight="1" x14ac:dyDescent="0.45">
      <c r="B24" s="29"/>
      <c r="C24" s="17"/>
      <c r="G24" s="17"/>
      <c r="H24" s="56"/>
      <c r="I24" s="458"/>
      <c r="J24" s="458"/>
      <c r="K24" s="30"/>
      <c r="L24" s="31"/>
    </row>
    <row r="25" spans="2:16" ht="20.149999999999999" customHeight="1" x14ac:dyDescent="0.45">
      <c r="B25" s="29"/>
      <c r="C25" s="17"/>
      <c r="G25" s="17"/>
      <c r="H25" s="56"/>
      <c r="I25" s="458"/>
      <c r="J25" s="458"/>
      <c r="K25" s="30"/>
      <c r="L25" s="31"/>
    </row>
    <row r="26" spans="2:16" ht="20.149999999999999" customHeight="1" x14ac:dyDescent="0.45">
      <c r="B26" s="29"/>
      <c r="C26" s="17"/>
      <c r="G26" s="17"/>
      <c r="H26" s="56"/>
      <c r="I26" s="458"/>
      <c r="J26" s="458"/>
      <c r="K26" s="30"/>
      <c r="L26" s="31"/>
    </row>
    <row r="27" spans="2:16" ht="20.149999999999999" customHeight="1" x14ac:dyDescent="0.45">
      <c r="B27" s="29"/>
      <c r="C27" s="17"/>
      <c r="G27" s="17"/>
      <c r="H27" s="56"/>
      <c r="I27" s="458"/>
      <c r="J27" s="458"/>
      <c r="K27" s="30"/>
      <c r="L27" s="31"/>
    </row>
    <row r="28" spans="2:16" ht="20.149999999999999" customHeight="1" thickBot="1" x14ac:dyDescent="0.5">
      <c r="B28" s="32"/>
      <c r="C28" s="33"/>
      <c r="D28" s="488"/>
      <c r="E28" s="488"/>
      <c r="F28" s="488"/>
      <c r="G28" s="33"/>
      <c r="H28" s="33"/>
      <c r="I28" s="33"/>
      <c r="J28" s="33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SUM(L17:L28)</f>
        <v>95</v>
      </c>
      <c r="M30" s="63">
        <f>SUM(P18:P26)-L30*0.02</f>
        <v>15.1</v>
      </c>
      <c r="N30" s="133">
        <f>M30/L30</f>
        <v>0.15894736842105261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95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8.5499999999999989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103.55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5">
    <mergeCell ref="D21:F21"/>
    <mergeCell ref="I21:J21"/>
    <mergeCell ref="J34:K34"/>
    <mergeCell ref="D22:F22"/>
    <mergeCell ref="I22:J22"/>
    <mergeCell ref="D23:F23"/>
    <mergeCell ref="I23:J23"/>
    <mergeCell ref="I24:J24"/>
    <mergeCell ref="I25:J25"/>
    <mergeCell ref="I26:J26"/>
    <mergeCell ref="I27:J27"/>
    <mergeCell ref="D28:F28"/>
    <mergeCell ref="J30:K30"/>
    <mergeCell ref="J32:K32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23622047244094491" bottom="0.23622047244094491" header="0.31496062992125984" footer="0.31496062992125984"/>
  <pageSetup paperSize="9" scale="51" orientation="portrait" horizontalDpi="300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239CC-97A2-46F8-B38C-A4EB616CA3C9}">
  <sheetPr codeName="Sheet107">
    <tabColor rgb="FFFFC000"/>
    <pageSetUpPr fitToPage="1"/>
  </sheetPr>
  <dimension ref="B1:W41"/>
  <sheetViews>
    <sheetView topLeftCell="B23" workbookViewId="0">
      <selection activeCell="G21" sqref="G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20" style="19" customWidth="1"/>
    <col min="7" max="7" width="8.54296875" style="19" customWidth="1"/>
    <col min="8" max="8" width="15.81640625" style="19" customWidth="1"/>
    <col min="9" max="9" width="1.7265625" style="19" customWidth="1"/>
    <col min="10" max="10" width="13" style="85" customWidth="1"/>
    <col min="11" max="11" width="11" style="19" customWidth="1"/>
    <col min="12" max="12" width="12.54296875" style="19" customWidth="1"/>
    <col min="13" max="16384" width="12.54296875" style="19"/>
  </cols>
  <sheetData>
    <row r="1" spans="2:23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23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23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23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23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23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23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23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23" ht="19" thickBot="1" x14ac:dyDescent="0.5">
      <c r="B9" s="18"/>
    </row>
    <row r="10" spans="2:2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163</v>
      </c>
      <c r="J10" s="86" t="s">
        <v>27</v>
      </c>
      <c r="K10" s="464">
        <v>202501226</v>
      </c>
      <c r="L10" s="465"/>
    </row>
    <row r="11" spans="2:23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 - Drink                                                 Block 768 Woodlands Ave 6                     #01-30/31 Singapore 730768                         </v>
      </c>
      <c r="G11" s="470"/>
      <c r="H11" s="471"/>
      <c r="J11" s="87" t="s">
        <v>9</v>
      </c>
      <c r="K11" s="478">
        <v>45667</v>
      </c>
      <c r="L11" s="479"/>
    </row>
    <row r="12" spans="2:23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87" t="s">
        <v>127</v>
      </c>
      <c r="K12" s="548" t="s">
        <v>34</v>
      </c>
      <c r="L12" s="483"/>
      <c r="R12" s="19">
        <v>500</v>
      </c>
      <c r="S12" s="19">
        <f>5.4/3</f>
        <v>1.8</v>
      </c>
      <c r="T12" s="19">
        <f>S12/1000*R12</f>
        <v>0.9</v>
      </c>
    </row>
    <row r="13" spans="2:23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87" t="s">
        <v>10</v>
      </c>
      <c r="K13" s="482" t="s">
        <v>12</v>
      </c>
      <c r="L13" s="483"/>
      <c r="R13" s="19">
        <v>500</v>
      </c>
      <c r="S13" s="19">
        <f>21.5/25</f>
        <v>0.86</v>
      </c>
      <c r="T13" s="19">
        <f>S13/1000*R13</f>
        <v>0.43</v>
      </c>
    </row>
    <row r="14" spans="2:23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87" t="s">
        <v>28</v>
      </c>
      <c r="K14" s="482" t="s">
        <v>14</v>
      </c>
      <c r="L14" s="483"/>
      <c r="R14" s="19">
        <v>900</v>
      </c>
    </row>
    <row r="15" spans="2:23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88" t="s">
        <v>11</v>
      </c>
      <c r="K15" s="495"/>
      <c r="L15" s="496"/>
      <c r="S15" s="19">
        <v>1500</v>
      </c>
      <c r="T15" s="19">
        <f>SUM(T12:T14)*1.2</f>
        <v>1.5960000000000001</v>
      </c>
      <c r="U15" s="19">
        <f>T15/S15*4000</f>
        <v>4.2560000000000002</v>
      </c>
      <c r="V15" s="19">
        <f>U15+1</f>
        <v>5.2560000000000002</v>
      </c>
      <c r="W15" s="19">
        <f>V15*1.4</f>
        <v>7.3583999999999996</v>
      </c>
    </row>
    <row r="16" spans="2:23" ht="19" thickBot="1" x14ac:dyDescent="0.5">
      <c r="J16" s="56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6" ht="20.149999999999999" customHeight="1" x14ac:dyDescent="0.45">
      <c r="B18" s="29"/>
      <c r="C18" s="212" t="s">
        <v>846</v>
      </c>
      <c r="D18" s="487" t="str">
        <f>VLOOKUP(C18,'Sales Master'!B$3:D$537,2,)</f>
        <v>Pearl Barley 薏米</v>
      </c>
      <c r="E18" s="487"/>
      <c r="F18" s="487"/>
      <c r="G18" s="17">
        <v>1</v>
      </c>
      <c r="H18" s="188" t="str">
        <f>VLOOKUP(C18,'Sales Master'!B$3:F$2424,5,0)</f>
        <v>5 KG</v>
      </c>
      <c r="I18" s="523" t="str">
        <f>VLOOKUP(C18,'Sales Master'!B$3:E$2424,4,0)</f>
        <v>-</v>
      </c>
      <c r="J18" s="523"/>
      <c r="K18" s="30">
        <f>VLOOKUP(C18,'Sales Master'!B$3:J$537,9,0)</f>
        <v>10</v>
      </c>
      <c r="L18" s="64">
        <f>K18*G18</f>
        <v>10</v>
      </c>
      <c r="M18" s="65"/>
    </row>
    <row r="19" spans="2:16" ht="20.149999999999999" customHeight="1" x14ac:dyDescent="0.45">
      <c r="B19" s="29"/>
      <c r="C19" s="212" t="s">
        <v>929</v>
      </c>
      <c r="D19" s="487" t="str">
        <f>VLOOKUP(C19,'Sales Master'!B$3:D$537,2,)</f>
        <v>Aloe Vera 芦荟 10mm</v>
      </c>
      <c r="E19" s="487"/>
      <c r="F19" s="487"/>
      <c r="G19" s="17">
        <v>2</v>
      </c>
      <c r="H19" s="188" t="str">
        <f>VLOOKUP(C19,'Sales Master'!B$3:F$2424,5,0)</f>
        <v>1 Can X A10</v>
      </c>
      <c r="I19" s="484" t="str">
        <f>VLOOKUP(C19,'Sales Master'!B$3:E$2424,4,0)</f>
        <v>Chefs</v>
      </c>
      <c r="J19" s="484"/>
      <c r="K19" s="30">
        <f>VLOOKUP(C19,'Sales Master'!B$3:J$537,9,0)</f>
        <v>10</v>
      </c>
      <c r="L19" s="64">
        <f t="shared" ref="L19:L21" si="0">K19*G19</f>
        <v>20</v>
      </c>
      <c r="M19" s="65"/>
    </row>
    <row r="20" spans="2:16" ht="20.149999999999999" customHeight="1" x14ac:dyDescent="0.45">
      <c r="B20" s="29"/>
      <c r="C20" s="212" t="s">
        <v>987</v>
      </c>
      <c r="D20" s="487" t="str">
        <f>VLOOKUP(C20,'Sales Master'!B$3:D$537,2,)</f>
        <v>Brown Sugar 黑糖</v>
      </c>
      <c r="E20" s="487"/>
      <c r="F20" s="487"/>
      <c r="G20" s="17">
        <v>1</v>
      </c>
      <c r="H20" s="188" t="str">
        <f>VLOOKUP(C20,'Sales Master'!B$3:F$2424,5,0)</f>
        <v>6 KG</v>
      </c>
      <c r="I20" s="484" t="str">
        <f>VLOOKUP(C20,'Sales Master'!B$3:E$2424,4,0)</f>
        <v>Star</v>
      </c>
      <c r="J20" s="484"/>
      <c r="K20" s="30">
        <f>VLOOKUP(C20,'Sales Master'!B$3:J$537,9,0)</f>
        <v>15</v>
      </c>
      <c r="L20" s="64">
        <f t="shared" si="0"/>
        <v>15</v>
      </c>
      <c r="M20" s="65"/>
    </row>
    <row r="21" spans="2:16" ht="20.149999999999999" customHeight="1" x14ac:dyDescent="0.45">
      <c r="B21" s="29"/>
      <c r="C21" s="212" t="s">
        <v>1009</v>
      </c>
      <c r="D21" s="487" t="str">
        <f>VLOOKUP(C21,'Sales Master'!B$3:D$537,2,)</f>
        <v>Pandan Leaf 班兰叶</v>
      </c>
      <c r="E21" s="487"/>
      <c r="F21" s="487"/>
      <c r="G21" s="17">
        <v>2</v>
      </c>
      <c r="H21" s="188" t="str">
        <f>VLOOKUP(C21,'Sales Master'!B$3:F$2424,5,0)</f>
        <v>1 KG</v>
      </c>
      <c r="I21" s="484" t="str">
        <f>VLOOKUP(C21,'Sales Master'!B$3:E$2424,4,0)</f>
        <v>-</v>
      </c>
      <c r="J21" s="484"/>
      <c r="K21" s="30">
        <f>VLOOKUP(C21,'Sales Master'!B$3:J$537,9,0)</f>
        <v>1.8</v>
      </c>
      <c r="L21" s="64">
        <f t="shared" si="0"/>
        <v>3.6</v>
      </c>
      <c r="M21" s="65"/>
    </row>
    <row r="22" spans="2:16" ht="20.149999999999999" customHeight="1" x14ac:dyDescent="0.45">
      <c r="B22" s="29"/>
      <c r="C22" s="212"/>
      <c r="D22" s="487"/>
      <c r="E22" s="487"/>
      <c r="F22" s="487"/>
      <c r="G22" s="17"/>
      <c r="H22" s="186"/>
      <c r="I22" s="484"/>
      <c r="J22" s="484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G23" s="17"/>
      <c r="H23" s="186"/>
      <c r="I23" s="208"/>
      <c r="J23" s="208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G24" s="17"/>
      <c r="H24" s="56"/>
      <c r="I24" s="494"/>
      <c r="J24" s="494"/>
      <c r="K24" s="30"/>
      <c r="L24" s="64"/>
      <c r="M24" s="65"/>
    </row>
    <row r="25" spans="2:16" ht="20.149999999999999" customHeight="1" x14ac:dyDescent="0.45">
      <c r="B25" s="29"/>
      <c r="C25" s="17"/>
      <c r="G25" s="17"/>
      <c r="H25" s="56"/>
      <c r="I25" s="494"/>
      <c r="J25" s="494"/>
      <c r="K25" s="30"/>
      <c r="L25" s="64"/>
      <c r="M25" s="65"/>
    </row>
    <row r="26" spans="2:16" ht="20.149999999999999" customHeight="1" x14ac:dyDescent="0.45">
      <c r="B26" s="29"/>
      <c r="C26" s="17"/>
      <c r="D26" s="487"/>
      <c r="E26" s="487"/>
      <c r="F26" s="487"/>
      <c r="G26" s="17"/>
      <c r="H26" s="56"/>
      <c r="I26" s="494"/>
      <c r="J26" s="494"/>
      <c r="K26" s="30"/>
      <c r="L26" s="31"/>
    </row>
    <row r="27" spans="2:16" ht="20.149999999999999" customHeight="1" thickBot="1" x14ac:dyDescent="0.5">
      <c r="B27" s="32"/>
      <c r="C27" s="33"/>
      <c r="D27" s="488"/>
      <c r="E27" s="488"/>
      <c r="F27" s="488"/>
      <c r="G27" s="33"/>
      <c r="H27" s="57"/>
      <c r="I27" s="530"/>
      <c r="J27" s="530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89" t="s">
        <v>13</v>
      </c>
      <c r="K29" s="490"/>
      <c r="L29" s="38">
        <f>SUM(L17:L26)</f>
        <v>48.6</v>
      </c>
      <c r="M29" s="63">
        <f>SUM(P18:P28)-L29*0.02</f>
        <v>-0.97200000000000009</v>
      </c>
      <c r="N29" s="133">
        <f>M29/L29</f>
        <v>-0.02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91" t="s">
        <v>19</v>
      </c>
      <c r="K31" s="492"/>
      <c r="L31" s="41">
        <f>L29-L30</f>
        <v>48.6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4.3739999999999997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85" t="s">
        <v>21</v>
      </c>
      <c r="K33" s="486"/>
      <c r="L33" s="43">
        <f>L31+L32</f>
        <v>52.974000000000004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89"/>
      <c r="K39" s="45"/>
      <c r="L39" s="46"/>
    </row>
    <row r="40" spans="2:12" ht="20.149999999999999" customHeight="1" x14ac:dyDescent="0.45">
      <c r="B40" s="36" t="s">
        <v>25</v>
      </c>
      <c r="J40" s="85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90"/>
      <c r="K41" s="48"/>
      <c r="L41" s="49"/>
    </row>
  </sheetData>
  <mergeCells count="34"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J33:K33"/>
    <mergeCell ref="D26:F26"/>
    <mergeCell ref="I26:J26"/>
    <mergeCell ref="D27:F27"/>
    <mergeCell ref="I27:J27"/>
    <mergeCell ref="J29:K29"/>
    <mergeCell ref="J31:K31"/>
    <mergeCell ref="I19:J19"/>
    <mergeCell ref="D18:F18"/>
    <mergeCell ref="D21:F21"/>
    <mergeCell ref="I25:J25"/>
    <mergeCell ref="I22:J22"/>
    <mergeCell ref="I24:J24"/>
    <mergeCell ref="D19:F19"/>
    <mergeCell ref="I18:J18"/>
    <mergeCell ref="I21:J21"/>
    <mergeCell ref="D20:F20"/>
    <mergeCell ref="D22:F22"/>
    <mergeCell ref="I20:J20"/>
  </mergeCells>
  <conditionalFormatting sqref="C18">
    <cfRule type="duplicateValues" dxfId="228" priority="1498"/>
  </conditionalFormatting>
  <conditionalFormatting sqref="C19:C27">
    <cfRule type="duplicateValues" dxfId="227" priority="2729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2721B-27C4-4C07-936A-68749A0C55BB}">
  <sheetPr codeName="Sheet137">
    <tabColor rgb="FFFFC000"/>
    <pageSetUpPr fitToPage="1"/>
  </sheetPr>
  <dimension ref="B1:P41"/>
  <sheetViews>
    <sheetView topLeftCell="A17" workbookViewId="0">
      <selection activeCell="G24" sqref="G2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453125" style="19" customWidth="1"/>
    <col min="7" max="7" width="8.54296875" style="19" customWidth="1"/>
    <col min="8" max="8" width="15.54296875" style="19" customWidth="1"/>
    <col min="9" max="9" width="1.7265625" style="19" customWidth="1"/>
    <col min="10" max="10" width="15.54296875" style="85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164</v>
      </c>
      <c r="J10" s="86" t="s">
        <v>27</v>
      </c>
      <c r="K10" s="464">
        <v>202501225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 - Dim Sum                                           Block 768 Woodlands Ave 6                 #01-30/31 Singapore 730768                          </v>
      </c>
      <c r="G11" s="470"/>
      <c r="H11" s="471"/>
      <c r="J11" s="87" t="s">
        <v>9</v>
      </c>
      <c r="K11" s="504">
        <v>45667</v>
      </c>
      <c r="L11" s="505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87" t="s">
        <v>127</v>
      </c>
      <c r="K12" s="482" t="s">
        <v>331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87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87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88" t="s">
        <v>11</v>
      </c>
      <c r="K15" s="495"/>
      <c r="L15" s="496"/>
    </row>
    <row r="16" spans="2:12" ht="19" thickBot="1" x14ac:dyDescent="0.5">
      <c r="J16" s="56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966</v>
      </c>
      <c r="D18" s="487" t="str">
        <f>VLOOKUP(C18,'Sales Master'!B$3:D$537,2,)</f>
        <v>Coconut Milk 椰浆</v>
      </c>
      <c r="E18" s="487"/>
      <c r="F18" s="487"/>
      <c r="G18" s="17">
        <v>3</v>
      </c>
      <c r="H18" s="186" t="str">
        <f>VLOOKUP(C18,'Sales Master'!$B$3:$F$2488,5,0)</f>
        <v>(1L x 12bag)/箱</v>
      </c>
      <c r="I18" s="484" t="str">
        <f>VLOOKUP(C18,'Sales Master'!$B$3:$E$2488,4,0)</f>
        <v>Kara UHT</v>
      </c>
      <c r="J18" s="484"/>
      <c r="K18" s="30">
        <f>VLOOKUP(C18,'Sales Master'!B$3:J$537,9,0)</f>
        <v>54</v>
      </c>
      <c r="L18" s="64">
        <f>K18*G18</f>
        <v>162</v>
      </c>
      <c r="M18" s="65"/>
      <c r="N18" s="145">
        <f>VLOOKUP(C18,'Sales Master'!$B$3:$DA$2279,104,0)</f>
        <v>35.799999999999997</v>
      </c>
      <c r="O18" s="145">
        <f>K18-N18</f>
        <v>18.200000000000003</v>
      </c>
      <c r="P18" s="145">
        <f>O18*G18</f>
        <v>54.600000000000009</v>
      </c>
    </row>
    <row r="19" spans="2:16" ht="20.149999999999999" customHeight="1" x14ac:dyDescent="0.45">
      <c r="B19" s="29"/>
      <c r="C19" s="212"/>
      <c r="D19" s="487"/>
      <c r="E19" s="487"/>
      <c r="F19" s="487"/>
      <c r="G19" s="17"/>
      <c r="H19" s="186"/>
      <c r="I19" s="484"/>
      <c r="J19" s="484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212"/>
      <c r="D20" s="487"/>
      <c r="E20" s="487"/>
      <c r="F20" s="487"/>
      <c r="G20" s="17"/>
      <c r="H20" s="186"/>
      <c r="I20" s="484"/>
      <c r="J20" s="484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87"/>
      <c r="E21" s="487"/>
      <c r="F21" s="487"/>
      <c r="G21" s="17"/>
      <c r="H21" s="186"/>
      <c r="I21" s="484"/>
      <c r="J21" s="484"/>
      <c r="K21" s="30"/>
      <c r="L21" s="64"/>
      <c r="M21" s="65"/>
      <c r="N21" s="145"/>
      <c r="O21" s="145"/>
      <c r="P21" s="145"/>
    </row>
    <row r="22" spans="2:16" x14ac:dyDescent="0.45">
      <c r="B22" s="29"/>
      <c r="C22" s="149" t="s">
        <v>2271</v>
      </c>
      <c r="D22" s="403"/>
      <c r="E22" s="403"/>
      <c r="F22" s="403"/>
      <c r="G22" s="76"/>
      <c r="H22" s="186"/>
      <c r="I22" s="484"/>
      <c r="J22" s="484"/>
      <c r="K22" s="19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 t="s">
        <v>966</v>
      </c>
      <c r="D23" s="487" t="str">
        <f>VLOOKUP(C23,'Sales Master'!B$3:D$537,2,)</f>
        <v>Coconut Milk 椰浆</v>
      </c>
      <c r="E23" s="487"/>
      <c r="F23" s="487"/>
      <c r="G23" s="17">
        <v>1</v>
      </c>
      <c r="H23" s="186" t="str">
        <f>VLOOKUP(C23,'Sales Master'!$B$3:$F$2488,5,0)</f>
        <v>(1L x 12bag)/箱</v>
      </c>
      <c r="I23" s="484" t="str">
        <f>VLOOKUP(C23,'Sales Master'!$B$3:$E$2488,4,0)</f>
        <v>Kara UHT</v>
      </c>
      <c r="J23" s="484"/>
      <c r="K23" s="190">
        <v>48</v>
      </c>
      <c r="L23" s="64"/>
      <c r="M23" s="65"/>
    </row>
    <row r="24" spans="2:16" ht="20.149999999999999" customHeight="1" x14ac:dyDescent="0.45">
      <c r="B24" s="29"/>
      <c r="C24" s="17"/>
      <c r="D24" s="487"/>
      <c r="E24" s="487"/>
      <c r="F24" s="487"/>
      <c r="G24" s="17"/>
      <c r="H24" s="56"/>
      <c r="I24" s="494"/>
      <c r="J24" s="494"/>
      <c r="K24" s="30"/>
      <c r="L24" s="64"/>
      <c r="M24" s="65"/>
    </row>
    <row r="25" spans="2:16" ht="20.149999999999999" customHeight="1" x14ac:dyDescent="0.45">
      <c r="B25" s="29"/>
      <c r="C25" s="17"/>
      <c r="D25" s="487"/>
      <c r="E25" s="487"/>
      <c r="F25" s="487"/>
      <c r="G25" s="17"/>
      <c r="H25" s="56"/>
      <c r="I25" s="494"/>
      <c r="J25" s="494"/>
      <c r="K25" s="30"/>
      <c r="L25" s="64"/>
      <c r="M25" s="65"/>
    </row>
    <row r="26" spans="2:16" ht="20.149999999999999" customHeight="1" x14ac:dyDescent="0.45">
      <c r="B26" s="29"/>
      <c r="C26" s="17"/>
      <c r="D26" s="487"/>
      <c r="E26" s="487"/>
      <c r="F26" s="487"/>
      <c r="G26" s="17"/>
      <c r="H26" s="56"/>
      <c r="I26" s="494"/>
      <c r="J26" s="494"/>
      <c r="K26" s="30"/>
      <c r="L26" s="31"/>
    </row>
    <row r="27" spans="2:16" ht="20.149999999999999" customHeight="1" thickBot="1" x14ac:dyDescent="0.5">
      <c r="B27" s="32"/>
      <c r="C27" s="33"/>
      <c r="D27" s="488"/>
      <c r="E27" s="488"/>
      <c r="F27" s="488"/>
      <c r="G27" s="33"/>
      <c r="H27" s="57"/>
      <c r="I27" s="530"/>
      <c r="J27" s="530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89" t="s">
        <v>13</v>
      </c>
      <c r="K29" s="490"/>
      <c r="L29" s="38">
        <f>SUM(L17:L26)</f>
        <v>162</v>
      </c>
      <c r="M29" s="63">
        <f>SUM(P8:P30)-L29*0.02</f>
        <v>51.360000000000007</v>
      </c>
      <c r="N29" s="133">
        <f>M29/L29</f>
        <v>0.31703703703703706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91" t="s">
        <v>19</v>
      </c>
      <c r="K31" s="492"/>
      <c r="L31" s="41">
        <f>L29-L30</f>
        <v>162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14.58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85" t="s">
        <v>21</v>
      </c>
      <c r="K33" s="486"/>
      <c r="L33" s="43">
        <f>L31+L32</f>
        <v>176.58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89"/>
      <c r="K39" s="45"/>
      <c r="L39" s="46"/>
    </row>
    <row r="40" spans="2:12" ht="20.149999999999999" customHeight="1" x14ac:dyDescent="0.45">
      <c r="B40" s="36" t="s">
        <v>25</v>
      </c>
      <c r="J40" s="85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90"/>
      <c r="K41" s="48"/>
      <c r="L41" s="49"/>
    </row>
  </sheetData>
  <mergeCells count="37">
    <mergeCell ref="B15:D15"/>
    <mergeCell ref="B1:L8"/>
    <mergeCell ref="D19:F19"/>
    <mergeCell ref="I19:J1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22:J22"/>
    <mergeCell ref="I23:J23"/>
    <mergeCell ref="D20:F20"/>
    <mergeCell ref="D21:F21"/>
    <mergeCell ref="I17:J17"/>
    <mergeCell ref="D18:F18"/>
    <mergeCell ref="I18:J18"/>
    <mergeCell ref="I20:J20"/>
    <mergeCell ref="I21:J21"/>
    <mergeCell ref="J33:K33"/>
    <mergeCell ref="D26:F26"/>
    <mergeCell ref="I26:J26"/>
    <mergeCell ref="D27:F27"/>
    <mergeCell ref="I27:J27"/>
    <mergeCell ref="J29:K29"/>
    <mergeCell ref="J31:K31"/>
    <mergeCell ref="I25:J25"/>
    <mergeCell ref="D23:F23"/>
    <mergeCell ref="D24:F24"/>
    <mergeCell ref="I24:J24"/>
    <mergeCell ref="D25:F25"/>
  </mergeCells>
  <conditionalFormatting sqref="C18 C20:C21 C24:C27">
    <cfRule type="duplicateValues" dxfId="226" priority="844"/>
  </conditionalFormatting>
  <conditionalFormatting sqref="C19">
    <cfRule type="duplicateValues" dxfId="225" priority="2"/>
  </conditionalFormatting>
  <conditionalFormatting sqref="C22">
    <cfRule type="duplicateValues" dxfId="224" priority="1"/>
  </conditionalFormatting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50D13-7AA5-4E4C-8FA1-3AF40D19E75F}">
  <sheetPr codeName="Sheet108">
    <tabColor rgb="FFFFC000"/>
    <pageSetUpPr fitToPage="1"/>
  </sheetPr>
  <dimension ref="B1:Q51"/>
  <sheetViews>
    <sheetView topLeftCell="A31" zoomScaleNormal="100" workbookViewId="0">
      <selection activeCell="B1" sqref="B1:L5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1.7265625" style="19" customWidth="1"/>
    <col min="10" max="10" width="15.54296875" style="85" customWidth="1"/>
    <col min="11" max="11" width="10.54296875" style="19" customWidth="1"/>
    <col min="12" max="12" width="14.453125" style="19" customWidth="1"/>
    <col min="13" max="16384" width="12.54296875" style="19"/>
  </cols>
  <sheetData>
    <row r="1" spans="2:16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6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6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6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6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6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6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6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6" ht="19" thickBot="1" x14ac:dyDescent="0.5">
      <c r="B9" s="18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165</v>
      </c>
      <c r="J10" s="86" t="s">
        <v>27</v>
      </c>
      <c r="K10" s="464">
        <v>202504242</v>
      </c>
      <c r="L10" s="465"/>
    </row>
    <row r="11" spans="2:16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Fork &amp; Spoon                                               Block 768 Woodlands Ave 6 #01-30/31 Singapore 730768                                         (Dessert)</v>
      </c>
      <c r="G11" s="470"/>
      <c r="H11" s="471"/>
      <c r="J11" s="87" t="s">
        <v>9</v>
      </c>
      <c r="K11" s="478">
        <v>45756</v>
      </c>
      <c r="L11" s="479"/>
    </row>
    <row r="12" spans="2:16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87" t="s">
        <v>127</v>
      </c>
      <c r="K12" s="482" t="s">
        <v>331</v>
      </c>
      <c r="L12" s="483"/>
    </row>
    <row r="13" spans="2:16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87" t="s">
        <v>10</v>
      </c>
      <c r="K13" s="482" t="s">
        <v>424</v>
      </c>
      <c r="L13" s="483"/>
    </row>
    <row r="14" spans="2:16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87" t="s">
        <v>28</v>
      </c>
      <c r="K14" s="482" t="s">
        <v>14</v>
      </c>
      <c r="L14" s="483"/>
    </row>
    <row r="15" spans="2:16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88" t="s">
        <v>11</v>
      </c>
      <c r="K15" s="495"/>
      <c r="L15" s="496"/>
    </row>
    <row r="16" spans="2:16" ht="19" thickBot="1" x14ac:dyDescent="0.5">
      <c r="J16" s="56"/>
      <c r="O16" s="63"/>
      <c r="P16" s="63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1"/>
      <c r="G17" s="112" t="s">
        <v>384</v>
      </c>
      <c r="H17" s="110" t="s">
        <v>29</v>
      </c>
      <c r="I17" s="531" t="s">
        <v>53</v>
      </c>
      <c r="J17" s="531"/>
      <c r="K17" s="110" t="s">
        <v>5</v>
      </c>
      <c r="L17" s="111" t="s">
        <v>6</v>
      </c>
      <c r="M17" s="28"/>
      <c r="O17" s="63"/>
      <c r="P17" s="63"/>
    </row>
    <row r="18" spans="2:17" ht="20.149999999999999" customHeight="1" x14ac:dyDescent="0.45">
      <c r="B18" s="174"/>
      <c r="C18" s="212" t="s">
        <v>698</v>
      </c>
      <c r="D18" s="549" t="str">
        <f>VLOOKUP(C18,'Sales Master'!B$3:D$537,2,)</f>
        <v xml:space="preserve">Fresh Soursop 红毛榴莲 </v>
      </c>
      <c r="E18" s="549"/>
      <c r="F18" s="549"/>
      <c r="G18" s="17">
        <v>2</v>
      </c>
      <c r="H18" s="85" t="str">
        <f>VLOOKUP(C18,'Sales Master'!$B$3:$F$2488,5,0)</f>
        <v>GW:5 KG/ Tub桶</v>
      </c>
      <c r="I18" s="484" t="str">
        <f>VLOOKUP(C18,'Sales Master'!$B$3:$E$2488,4,0)</f>
        <v>DO!</v>
      </c>
      <c r="J18" s="484"/>
      <c r="K18" s="30">
        <f>VLOOKUP(C18,'Sales Master'!B$3:AR$537,43,0)</f>
        <v>31</v>
      </c>
      <c r="L18" s="64">
        <f t="shared" ref="L18" si="0">K18*G18</f>
        <v>62</v>
      </c>
      <c r="M18" s="65"/>
      <c r="O18" s="63"/>
      <c r="P18" s="63"/>
    </row>
    <row r="19" spans="2:17" ht="20.149999999999999" customHeight="1" x14ac:dyDescent="0.45">
      <c r="B19" s="29"/>
      <c r="C19" s="212" t="s">
        <v>717</v>
      </c>
      <c r="D19" s="498" t="str">
        <f>VLOOKUP(C19,'Sales Master'!B$3:D$537,2,)</f>
        <v>Pong Thai Hai (Wet) 碰大海(湿)</v>
      </c>
      <c r="E19" s="498"/>
      <c r="F19" s="498"/>
      <c r="G19" s="17">
        <v>2</v>
      </c>
      <c r="H19" s="85" t="str">
        <f>VLOOKUP(C19,'Sales Master'!$B$3:$F$2488,5,0)</f>
        <v>1 KG/ Pkt包</v>
      </c>
      <c r="I19" s="484" t="str">
        <f>VLOOKUP(C19,'Sales Master'!$B$3:$E$2488,4,0)</f>
        <v>DO!</v>
      </c>
      <c r="J19" s="484"/>
      <c r="K19" s="30">
        <f>VLOOKUP(C19,'Sales Master'!B$3:AR$537,43,0)</f>
        <v>10</v>
      </c>
      <c r="L19" s="64">
        <f>K19*G19</f>
        <v>20</v>
      </c>
      <c r="M19" s="65"/>
      <c r="N19" s="145"/>
      <c r="O19" s="145"/>
      <c r="P19" s="145"/>
      <c r="Q19" s="63"/>
    </row>
    <row r="20" spans="2:17" ht="20.149999999999999" customHeight="1" x14ac:dyDescent="0.45">
      <c r="B20" s="29"/>
      <c r="C20" s="212" t="s">
        <v>777</v>
      </c>
      <c r="D20" s="487" t="str">
        <f>VLOOKUP(C20,'Sales Master'!B$3:D$537,2,)</f>
        <v>Sweet Potato Powder 番薯粉</v>
      </c>
      <c r="E20" s="487"/>
      <c r="F20" s="487"/>
      <c r="G20" s="17">
        <v>1</v>
      </c>
      <c r="H20" s="85" t="str">
        <f>VLOOKUP(C20,'Sales Master'!$B$3:$F$2488,5,0)</f>
        <v>(500gm x 20Pkt)包</v>
      </c>
      <c r="I20" s="484" t="str">
        <f>VLOOKUP(C20,'Sales Master'!$B$3:$E$2488,4,0)</f>
        <v>RE-PACK</v>
      </c>
      <c r="J20" s="484"/>
      <c r="K20" s="30">
        <f>VLOOKUP(C20,'Sales Master'!B$3:AR$537,43,0)</f>
        <v>32</v>
      </c>
      <c r="L20" s="64">
        <f t="shared" ref="L20:L30" si="1">K20*G20</f>
        <v>32</v>
      </c>
      <c r="M20" s="65"/>
      <c r="N20" s="145"/>
      <c r="O20" s="145"/>
      <c r="P20" s="145"/>
      <c r="Q20" s="63"/>
    </row>
    <row r="21" spans="2:17" ht="20.149999999999999" customHeight="1" x14ac:dyDescent="0.45">
      <c r="B21" s="29"/>
      <c r="C21" s="212" t="s">
        <v>786</v>
      </c>
      <c r="D21" s="487" t="str">
        <f>VLOOKUP(C21,'Sales Master'!B$3:D$537,2,)</f>
        <v>Tapioca Flour 茨粉</v>
      </c>
      <c r="E21" s="487"/>
      <c r="F21" s="487"/>
      <c r="G21" s="17">
        <v>10</v>
      </c>
      <c r="H21" s="85" t="str">
        <f>VLOOKUP(C21,'Sales Master'!$B$3:$F$2488,5,0)</f>
        <v xml:space="preserve">500 GM/pkt </v>
      </c>
      <c r="I21" s="484" t="str">
        <f>VLOOKUP(C21,'Sales Master'!$B$3:$E$2488,4,0)</f>
        <v>F/man 飞人</v>
      </c>
      <c r="J21" s="484"/>
      <c r="K21" s="30">
        <f>VLOOKUP(C21,'Sales Master'!B$3:AR$537,43,0)</f>
        <v>0.8</v>
      </c>
      <c r="L21" s="64">
        <f t="shared" si="1"/>
        <v>8</v>
      </c>
      <c r="M21" s="65"/>
      <c r="N21" s="145"/>
      <c r="O21" s="145"/>
      <c r="P21" s="145"/>
      <c r="Q21" s="63"/>
    </row>
    <row r="22" spans="2:17" ht="20.149999999999999" customHeight="1" x14ac:dyDescent="0.45">
      <c r="B22" s="29"/>
      <c r="C22" s="212" t="s">
        <v>787</v>
      </c>
      <c r="D22" s="487" t="str">
        <f>VLOOKUP(C22,'Sales Master'!B$3:D$537,2,)</f>
        <v>Potato Starch 风车粉</v>
      </c>
      <c r="E22" s="487"/>
      <c r="F22" s="487"/>
      <c r="G22" s="17">
        <v>1</v>
      </c>
      <c r="H22" s="85" t="str">
        <f>VLOOKUP(C22,'Sales Master'!$B$3:$F$2488,5,0)</f>
        <v>350 GM x 24/ Ctn箱</v>
      </c>
      <c r="I22" s="484" t="str">
        <f>VLOOKUP(C22,'Sales Master'!$B$3:$E$2488,4,0)</f>
        <v>Windmill</v>
      </c>
      <c r="J22" s="484"/>
      <c r="K22" s="30">
        <f>VLOOKUP(C22,'Sales Master'!B$3:AR$537,43,0)</f>
        <v>41</v>
      </c>
      <c r="L22" s="64">
        <f>K22*G22</f>
        <v>41</v>
      </c>
      <c r="M22" s="65"/>
      <c r="N22" s="145"/>
      <c r="O22" s="145"/>
      <c r="P22" s="145"/>
      <c r="Q22" s="63"/>
    </row>
    <row r="23" spans="2:17" ht="20.149999999999999" customHeight="1" x14ac:dyDescent="0.45">
      <c r="B23" s="29"/>
      <c r="C23" s="212" t="s">
        <v>837</v>
      </c>
      <c r="D23" s="487" t="str">
        <f>VLOOKUP(C23,'Sales Master'!B$3:D$537,2,)</f>
        <v>Black Glutinous Rice 黑糯米</v>
      </c>
      <c r="E23" s="487"/>
      <c r="F23" s="487"/>
      <c r="G23" s="17">
        <v>2</v>
      </c>
      <c r="H23" s="85" t="str">
        <f>VLOOKUP(C23,'Sales Master'!$B$3:$F$2488,5,0)</f>
        <v>5 KGS</v>
      </c>
      <c r="I23" s="484" t="str">
        <f>VLOOKUP(C23,'Sales Master'!$B$3:$E$2488,4,0)</f>
        <v>-</v>
      </c>
      <c r="J23" s="484"/>
      <c r="K23" s="30">
        <f>VLOOKUP(C23,'Sales Master'!B$3:AR$537,43,0)</f>
        <v>18</v>
      </c>
      <c r="L23" s="64">
        <f t="shared" si="1"/>
        <v>36</v>
      </c>
      <c r="M23" s="65"/>
      <c r="N23" s="145"/>
      <c r="O23" s="145"/>
      <c r="P23" s="145"/>
      <c r="Q23" s="63"/>
    </row>
    <row r="24" spans="2:17" ht="20.149999999999999" customHeight="1" x14ac:dyDescent="0.45">
      <c r="B24" s="29"/>
      <c r="C24" s="212" t="s">
        <v>844</v>
      </c>
      <c r="D24" s="487" t="str">
        <f>VLOOKUP(C24,'Sales Master'!B$3:D$537,2,)</f>
        <v>White Wheat 大麦</v>
      </c>
      <c r="E24" s="487"/>
      <c r="F24" s="487"/>
      <c r="G24" s="17">
        <v>2</v>
      </c>
      <c r="H24" s="85" t="str">
        <f>VLOOKUP(C24,'Sales Master'!$B$3:$F$2488,5,0)</f>
        <v>10 PKT/ Bag</v>
      </c>
      <c r="I24" s="484" t="str">
        <f>VLOOKUP(C24,'Sales Master'!$B$3:$E$2488,4,0)</f>
        <v>-</v>
      </c>
      <c r="J24" s="484"/>
      <c r="K24" s="30">
        <f>VLOOKUP(C24,'Sales Master'!B$3:AR$537,43,0)</f>
        <v>9.5</v>
      </c>
      <c r="L24" s="64">
        <f t="shared" si="1"/>
        <v>19</v>
      </c>
      <c r="M24" s="65"/>
      <c r="N24" s="145"/>
      <c r="O24" s="145"/>
      <c r="P24" s="145"/>
      <c r="Q24" s="63"/>
    </row>
    <row r="25" spans="2:17" ht="20.149999999999999" customHeight="1" x14ac:dyDescent="0.45">
      <c r="B25" s="29"/>
      <c r="C25" s="212" t="s">
        <v>853</v>
      </c>
      <c r="D25" s="487" t="str">
        <f>VLOOKUP(C25,'Sales Master'!B$3:D$537,2,)</f>
        <v>Small Sago 小丸</v>
      </c>
      <c r="E25" s="487"/>
      <c r="F25" s="487"/>
      <c r="G25" s="17">
        <v>2</v>
      </c>
      <c r="H25" s="85" t="str">
        <f>VLOOKUP(C25,'Sales Master'!$B$3:$F$2488,5,0)</f>
        <v>5 KG</v>
      </c>
      <c r="I25" s="484" t="str">
        <f>VLOOKUP(C25,'Sales Master'!$B$3:$E$2488,4,0)</f>
        <v>-</v>
      </c>
      <c r="J25" s="484"/>
      <c r="K25" s="30">
        <f>VLOOKUP(C25,'Sales Master'!B$3:AR$537,43,0)</f>
        <v>10</v>
      </c>
      <c r="L25" s="64">
        <f t="shared" si="1"/>
        <v>20</v>
      </c>
      <c r="M25" s="65"/>
      <c r="N25" s="145"/>
      <c r="O25" s="145"/>
      <c r="P25" s="145"/>
      <c r="Q25" s="63"/>
    </row>
    <row r="26" spans="2:17" ht="20.149999999999999" customHeight="1" x14ac:dyDescent="0.45">
      <c r="B26" s="29"/>
      <c r="C26" s="212" t="s">
        <v>856</v>
      </c>
      <c r="D26" s="487" t="str">
        <f>VLOOKUP(C26,'Sales Master'!B$3:D$537,2,)</f>
        <v>Dried Longan 龙眼干</v>
      </c>
      <c r="E26" s="487"/>
      <c r="F26" s="487"/>
      <c r="G26" s="17">
        <v>10</v>
      </c>
      <c r="H26" s="85" t="str">
        <f>VLOOKUP(C26,'Sales Master'!$B$3:$F$2488,5,0)</f>
        <v>1 kg/ Pkt包</v>
      </c>
      <c r="I26" s="484" t="str">
        <f>VLOOKUP(C26,'Sales Master'!$B$3:$E$2488,4,0)</f>
        <v>TL</v>
      </c>
      <c r="J26" s="484"/>
      <c r="K26" s="30">
        <f>VLOOKUP(C26,'Sales Master'!B$3:AR$537,43,0)</f>
        <v>12</v>
      </c>
      <c r="L26" s="64">
        <f t="shared" si="1"/>
        <v>120</v>
      </c>
      <c r="M26" s="65"/>
      <c r="N26" s="145"/>
      <c r="O26" s="145"/>
      <c r="P26" s="145"/>
      <c r="Q26" s="63"/>
    </row>
    <row r="27" spans="2:17" ht="20.149999999999999" customHeight="1" x14ac:dyDescent="0.45">
      <c r="B27" s="29"/>
      <c r="C27" s="212" t="s">
        <v>1153</v>
      </c>
      <c r="D27" s="487" t="str">
        <f>VLOOKUP(C27,'Sales Master'!B$3:D$537,2,)</f>
        <v>Fruit Cocktail 杂果</v>
      </c>
      <c r="E27" s="487"/>
      <c r="F27" s="487"/>
      <c r="G27" s="17">
        <v>1</v>
      </c>
      <c r="H27" s="85" t="str">
        <f>VLOOKUP(C27,'Sales Master'!$B$3:$F$2488,5,0)</f>
        <v>(836gm x 12)/ Ctn箱</v>
      </c>
      <c r="I27" s="484" t="str">
        <f>VLOOKUP(C27,'Sales Master'!$B$3:$E$2488,4,0)</f>
        <v>Hosen</v>
      </c>
      <c r="J27" s="484"/>
      <c r="K27" s="30">
        <f>VLOOKUP(C27,'Sales Master'!B$3:AR$537,43,0)</f>
        <v>25</v>
      </c>
      <c r="L27" s="64">
        <f t="shared" si="1"/>
        <v>25</v>
      </c>
      <c r="M27" s="65"/>
      <c r="N27" s="145"/>
      <c r="O27" s="145"/>
      <c r="P27" s="145"/>
      <c r="Q27" s="63"/>
    </row>
    <row r="28" spans="2:17" ht="20.149999999999999" customHeight="1" x14ac:dyDescent="0.45">
      <c r="B28" s="29"/>
      <c r="C28" s="212" t="s">
        <v>1004</v>
      </c>
      <c r="D28" s="487" t="str">
        <f>VLOOKUP(C28,'Sales Master'!B$3:D$537,2,)</f>
        <v>Sweet Potato 番薯</v>
      </c>
      <c r="E28" s="487"/>
      <c r="F28" s="487"/>
      <c r="G28" s="17">
        <v>50</v>
      </c>
      <c r="H28" s="85" t="str">
        <f>VLOOKUP(C28,'Sales Master'!$B$3:$F$2488,5,0)</f>
        <v>1 KG</v>
      </c>
      <c r="I28" s="484" t="str">
        <f>VLOOKUP(C28,'Sales Master'!$B$3:$E$2488,4,0)</f>
        <v>-</v>
      </c>
      <c r="J28" s="484"/>
      <c r="K28" s="30">
        <f>VLOOKUP(C28,'Sales Master'!B$3:AR$537,43,0)</f>
        <v>2.5</v>
      </c>
      <c r="L28" s="64">
        <f>K28*G28</f>
        <v>125</v>
      </c>
      <c r="M28" s="65"/>
      <c r="O28" s="63"/>
      <c r="P28" s="63"/>
    </row>
    <row r="29" spans="2:17" ht="20.149999999999999" customHeight="1" x14ac:dyDescent="0.45">
      <c r="B29" s="29"/>
      <c r="C29" s="212" t="s">
        <v>1007</v>
      </c>
      <c r="D29" s="487" t="str">
        <f>VLOOKUP(C29,'Sales Master'!B$3:D$537,2,)</f>
        <v>Yam 芋头</v>
      </c>
      <c r="E29" s="487"/>
      <c r="F29" s="487"/>
      <c r="G29" s="17">
        <v>6</v>
      </c>
      <c r="H29" s="85" t="str">
        <f>VLOOKUP(C29,'Sales Master'!$B$3:$F$2488,5,0)</f>
        <v>1 KG</v>
      </c>
      <c r="I29" s="484" t="str">
        <f>VLOOKUP(C29,'Sales Master'!$B$3:$E$2488,4,0)</f>
        <v>Malaysia</v>
      </c>
      <c r="J29" s="484"/>
      <c r="K29" s="30">
        <f>VLOOKUP(C29,'Sales Master'!B$3:AR$537,43,0)</f>
        <v>3</v>
      </c>
      <c r="L29" s="64">
        <f t="shared" si="1"/>
        <v>18</v>
      </c>
      <c r="M29" s="65"/>
      <c r="N29" s="145"/>
      <c r="O29" s="145"/>
      <c r="P29" s="145"/>
      <c r="Q29" s="63"/>
    </row>
    <row r="30" spans="2:17" ht="20.149999999999999" customHeight="1" x14ac:dyDescent="0.45">
      <c r="B30" s="29"/>
      <c r="C30" s="212" t="s">
        <v>1009</v>
      </c>
      <c r="D30" s="487" t="str">
        <f>VLOOKUP(C30,'Sales Master'!B$3:D$537,2,)</f>
        <v>Pandan Leaf 班兰叶</v>
      </c>
      <c r="E30" s="487"/>
      <c r="F30" s="487"/>
      <c r="G30" s="17">
        <v>4</v>
      </c>
      <c r="H30" s="85" t="str">
        <f>VLOOKUP(C30,'Sales Master'!$B$3:$F$2488,5,0)</f>
        <v>1 KG</v>
      </c>
      <c r="I30" s="484" t="str">
        <f>VLOOKUP(C30,'Sales Master'!$B$3:$E$2488,4,0)</f>
        <v>-</v>
      </c>
      <c r="J30" s="484"/>
      <c r="K30" s="30">
        <f>VLOOKUP(C30,'Sales Master'!B$3:AR$537,43,0)</f>
        <v>1.8</v>
      </c>
      <c r="L30" s="64">
        <f t="shared" si="1"/>
        <v>7.2</v>
      </c>
      <c r="M30" s="65"/>
      <c r="O30" s="63"/>
      <c r="P30" s="63"/>
    </row>
    <row r="31" spans="2:17" ht="20.149999999999999" customHeight="1" x14ac:dyDescent="0.45">
      <c r="B31" s="29"/>
      <c r="C31" s="212"/>
      <c r="D31" s="498"/>
      <c r="E31" s="498"/>
      <c r="F31" s="498"/>
      <c r="G31" s="17"/>
      <c r="H31" s="85"/>
      <c r="I31" s="484"/>
      <c r="J31" s="484"/>
      <c r="K31" s="30"/>
      <c r="L31" s="64"/>
      <c r="M31" s="65"/>
      <c r="O31" s="63"/>
      <c r="P31" s="63"/>
    </row>
    <row r="32" spans="2:17" ht="20.149999999999999" customHeight="1" x14ac:dyDescent="0.45">
      <c r="B32" s="29"/>
      <c r="C32" s="212"/>
      <c r="D32" s="498"/>
      <c r="E32" s="498"/>
      <c r="F32" s="498"/>
      <c r="G32" s="17"/>
      <c r="H32" s="85"/>
      <c r="I32" s="484"/>
      <c r="J32" s="484"/>
      <c r="K32" s="30"/>
      <c r="L32" s="64"/>
      <c r="M32" s="65"/>
      <c r="N32" s="145"/>
      <c r="O32" s="145"/>
      <c r="P32" s="145"/>
      <c r="Q32" s="63"/>
    </row>
    <row r="33" spans="2:17" ht="20.149999999999999" customHeight="1" x14ac:dyDescent="0.45">
      <c r="B33" s="29"/>
      <c r="C33" s="212"/>
      <c r="D33" s="498"/>
      <c r="E33" s="498"/>
      <c r="F33" s="498"/>
      <c r="G33" s="17"/>
      <c r="H33" s="85"/>
      <c r="I33" s="484"/>
      <c r="J33" s="484"/>
      <c r="K33" s="30"/>
      <c r="L33" s="64"/>
      <c r="M33" s="65"/>
      <c r="N33" s="145"/>
      <c r="O33" s="145"/>
      <c r="P33" s="145"/>
      <c r="Q33" s="63"/>
    </row>
    <row r="34" spans="2:17" ht="20.149999999999999" customHeight="1" x14ac:dyDescent="0.45">
      <c r="B34" s="29"/>
      <c r="C34" s="149" t="s">
        <v>2146</v>
      </c>
      <c r="D34" s="403"/>
      <c r="E34" s="403"/>
      <c r="F34" s="403"/>
      <c r="G34" s="76"/>
      <c r="H34" s="186"/>
      <c r="I34" s="484"/>
      <c r="J34" s="484"/>
      <c r="K34" s="190"/>
      <c r="L34" s="64"/>
      <c r="M34" s="65"/>
      <c r="N34" s="145"/>
      <c r="O34" s="145"/>
      <c r="P34" s="145"/>
      <c r="Q34" s="63"/>
    </row>
    <row r="35" spans="2:17" ht="20.149999999999999" customHeight="1" x14ac:dyDescent="0.45">
      <c r="B35" s="29"/>
      <c r="C35" s="212" t="s">
        <v>966</v>
      </c>
      <c r="D35" s="498" t="str">
        <f>VLOOKUP(C35,'Sales Master'!B$3:D$537,2,)</f>
        <v>Coconut Milk 椰浆</v>
      </c>
      <c r="E35" s="498"/>
      <c r="F35" s="498"/>
      <c r="G35" s="17">
        <v>1</v>
      </c>
      <c r="H35" s="85" t="str">
        <f>VLOOKUP(C35,'Sales Master'!$B$3:$F$2488,5,0)</f>
        <v>(1L x 12bag)/箱</v>
      </c>
      <c r="I35" s="484" t="str">
        <f>VLOOKUP(C35,'Sales Master'!$B$3:$E$2488,4,0)</f>
        <v>Kara UHT</v>
      </c>
      <c r="J35" s="484"/>
      <c r="K35" s="30">
        <v>54</v>
      </c>
      <c r="L35" s="64"/>
      <c r="M35" s="65"/>
      <c r="N35" s="145"/>
      <c r="O35" s="145"/>
      <c r="P35" s="145"/>
      <c r="Q35" s="63"/>
    </row>
    <row r="36" spans="2:17" ht="20.149999999999999" customHeight="1" x14ac:dyDescent="0.45">
      <c r="B36" s="29"/>
      <c r="J36" s="19"/>
      <c r="L36" s="64"/>
      <c r="M36" s="65"/>
      <c r="N36" s="145"/>
      <c r="O36" s="145"/>
      <c r="P36" s="145"/>
      <c r="Q36" s="63"/>
    </row>
    <row r="37" spans="2:17" ht="20.149999999999999" customHeight="1" x14ac:dyDescent="0.45">
      <c r="B37" s="29"/>
      <c r="J37" s="19"/>
      <c r="L37" s="64"/>
      <c r="M37" s="65"/>
      <c r="N37" s="145"/>
      <c r="O37" s="145"/>
      <c r="P37" s="145"/>
      <c r="Q37" s="63"/>
    </row>
    <row r="38" spans="2:17" ht="20.149999999999999" customHeight="1" thickBot="1" x14ac:dyDescent="0.5">
      <c r="B38" s="199"/>
      <c r="C38" s="200"/>
      <c r="D38" s="48"/>
      <c r="E38" s="48"/>
      <c r="F38" s="48"/>
      <c r="G38" s="33"/>
      <c r="H38" s="57"/>
      <c r="I38" s="57"/>
      <c r="J38" s="57"/>
      <c r="K38" s="34"/>
      <c r="L38" s="75"/>
    </row>
    <row r="39" spans="2:17" ht="20.149999999999999" customHeight="1" thickBot="1" x14ac:dyDescent="0.5">
      <c r="B39" s="10" t="s">
        <v>16</v>
      </c>
      <c r="L39" s="37"/>
    </row>
    <row r="40" spans="2:17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489" t="s">
        <v>13</v>
      </c>
      <c r="K40" s="490"/>
      <c r="L40" s="38">
        <f>SUM(L18:L38)</f>
        <v>533.20000000000005</v>
      </c>
      <c r="M40" s="63"/>
      <c r="N40" s="133"/>
    </row>
    <row r="41" spans="2:17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39" t="s">
        <v>20</v>
      </c>
      <c r="K41" s="40"/>
      <c r="L41" s="41">
        <f>L40*K41</f>
        <v>0</v>
      </c>
    </row>
    <row r="42" spans="2:17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491" t="s">
        <v>19</v>
      </c>
      <c r="K42" s="492"/>
      <c r="L42" s="41">
        <f>L40-L41</f>
        <v>533.20000000000005</v>
      </c>
    </row>
    <row r="43" spans="2:17" ht="20.149999999999999" customHeight="1" x14ac:dyDescent="0.45">
      <c r="B43" s="10" t="s">
        <v>23</v>
      </c>
      <c r="C43" s="6"/>
      <c r="D43" s="6"/>
      <c r="E43" s="6"/>
      <c r="F43" s="6"/>
      <c r="G43" s="6"/>
      <c r="H43" s="6"/>
      <c r="I43" s="6"/>
      <c r="J43" s="102" t="s">
        <v>15</v>
      </c>
      <c r="K43" s="103">
        <f>'Sales Master'!$B$1</f>
        <v>0.09</v>
      </c>
      <c r="L43" s="42">
        <f>L42*K43</f>
        <v>47.988</v>
      </c>
    </row>
    <row r="44" spans="2:17" ht="20.149999999999999" customHeight="1" thickBot="1" x14ac:dyDescent="0.5">
      <c r="B44" s="10" t="s">
        <v>24</v>
      </c>
      <c r="C44" s="6"/>
      <c r="D44" s="6"/>
      <c r="E44" s="6"/>
      <c r="F44" s="6"/>
      <c r="G44" s="6"/>
      <c r="H44" s="6"/>
      <c r="I44" s="6"/>
      <c r="J44" s="485" t="s">
        <v>21</v>
      </c>
      <c r="K44" s="486"/>
      <c r="L44" s="43">
        <f>L42+L43</f>
        <v>581.1880000000001</v>
      </c>
    </row>
    <row r="45" spans="2:17" ht="20.149999999999999" customHeight="1" x14ac:dyDescent="0.45">
      <c r="B45" s="36"/>
      <c r="J45" s="19"/>
      <c r="L45" s="37"/>
    </row>
    <row r="46" spans="2:17" ht="20.149999999999999" customHeight="1" x14ac:dyDescent="0.45">
      <c r="B46" s="36"/>
      <c r="J46" s="19"/>
      <c r="L46" s="37"/>
    </row>
    <row r="47" spans="2:17" ht="20.149999999999999" customHeight="1" x14ac:dyDescent="0.45">
      <c r="B47" s="36"/>
      <c r="J47" s="19"/>
      <c r="L47" s="37"/>
    </row>
    <row r="48" spans="2:17" ht="20.149999999999999" customHeight="1" x14ac:dyDescent="0.45">
      <c r="B48" s="44"/>
      <c r="C48" s="45"/>
      <c r="D48" s="45"/>
      <c r="J48" s="45"/>
      <c r="K48" s="45"/>
      <c r="L48" s="46"/>
    </row>
    <row r="49" spans="2:12" ht="20.149999999999999" customHeight="1" x14ac:dyDescent="0.45">
      <c r="B49" s="36" t="s">
        <v>25</v>
      </c>
      <c r="J49" s="19" t="s">
        <v>26</v>
      </c>
      <c r="L49" s="37"/>
    </row>
    <row r="50" spans="2:12" ht="20.149999999999999" customHeight="1" thickBot="1" x14ac:dyDescent="0.5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9"/>
    </row>
    <row r="51" spans="2:12" ht="20.5" x14ac:dyDescent="0.45">
      <c r="F51" s="201"/>
    </row>
  </sheetData>
  <mergeCells count="53">
    <mergeCell ref="K14:L14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B15:D15"/>
    <mergeCell ref="K15:L15"/>
    <mergeCell ref="D31:F31"/>
    <mergeCell ref="I31:J31"/>
    <mergeCell ref="D18:F18"/>
    <mergeCell ref="D28:F28"/>
    <mergeCell ref="I18:J18"/>
    <mergeCell ref="I28:J28"/>
    <mergeCell ref="D19:F19"/>
    <mergeCell ref="I19:J19"/>
    <mergeCell ref="I30:J30"/>
    <mergeCell ref="D30:F30"/>
    <mergeCell ref="D20:F20"/>
    <mergeCell ref="D21:F21"/>
    <mergeCell ref="D23:F23"/>
    <mergeCell ref="D24:F24"/>
    <mergeCell ref="D25:F25"/>
    <mergeCell ref="D26:F26"/>
    <mergeCell ref="J44:K44"/>
    <mergeCell ref="J42:K42"/>
    <mergeCell ref="J40:K40"/>
    <mergeCell ref="I33:J33"/>
    <mergeCell ref="D32:F32"/>
    <mergeCell ref="I32:J32"/>
    <mergeCell ref="D33:F33"/>
    <mergeCell ref="I34:J34"/>
    <mergeCell ref="D35:F35"/>
    <mergeCell ref="I35:J35"/>
    <mergeCell ref="D27:F27"/>
    <mergeCell ref="D29:F29"/>
    <mergeCell ref="I20:J20"/>
    <mergeCell ref="I21:J21"/>
    <mergeCell ref="I23:J23"/>
    <mergeCell ref="I24:J24"/>
    <mergeCell ref="I25:J25"/>
    <mergeCell ref="I26:J26"/>
    <mergeCell ref="I27:J27"/>
    <mergeCell ref="I29:J29"/>
    <mergeCell ref="D22:F22"/>
    <mergeCell ref="I22:J22"/>
  </mergeCells>
  <conditionalFormatting sqref="C18:C33">
    <cfRule type="duplicateValues" dxfId="223" priority="2752"/>
  </conditionalFormatting>
  <conditionalFormatting sqref="C34">
    <cfRule type="duplicateValues" dxfId="222" priority="1"/>
  </conditionalFormatting>
  <conditionalFormatting sqref="C38">
    <cfRule type="duplicateValues" dxfId="221" priority="643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0302A-4F79-4139-9329-5D0DCC273F02}">
  <sheetPr codeName="Sheet129">
    <tabColor rgb="FFFFC000"/>
    <pageSetUpPr fitToPage="1"/>
  </sheetPr>
  <dimension ref="B1:V43"/>
  <sheetViews>
    <sheetView topLeftCell="A20" zoomScaleNormal="100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166</v>
      </c>
      <c r="J10" s="24" t="s">
        <v>27</v>
      </c>
      <c r="K10" s="464">
        <v>202504279</v>
      </c>
      <c r="L10" s="465"/>
    </row>
    <row r="11" spans="2:12" ht="20.149999999999999" customHeight="1" x14ac:dyDescent="0.45">
      <c r="B11" s="466" t="s">
        <v>361</v>
      </c>
      <c r="C11" s="467"/>
      <c r="D11" s="468"/>
      <c r="E11" s="25"/>
      <c r="F11" s="469" t="str">
        <f>VLOOKUP(H10,'Delivery Location'!A$4:N$466,2,0)</f>
        <v>Xi Yue Yuan Pte Ltd                                  Pioneer Central, 1 Soon Lee Street #01-32 Singapore 627605</v>
      </c>
      <c r="G11" s="470"/>
      <c r="H11" s="471"/>
      <c r="J11" s="26" t="s">
        <v>9</v>
      </c>
      <c r="K11" s="478">
        <v>45758</v>
      </c>
      <c r="L11" s="479"/>
    </row>
    <row r="12" spans="2:12" ht="20.149999999999999" customHeight="1" x14ac:dyDescent="0.45">
      <c r="B12" s="480" t="s">
        <v>362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536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648</v>
      </c>
      <c r="L13" s="483"/>
    </row>
    <row r="14" spans="2:12" ht="20.149999999999999" customHeight="1" x14ac:dyDescent="0.45">
      <c r="B14" s="480" t="s">
        <v>537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08" t="s">
        <v>363</v>
      </c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29"/>
      <c r="C18" s="212" t="s">
        <v>715</v>
      </c>
      <c r="D18" s="487" t="str">
        <f>VLOOKUP(C18,'Sales Master'!B$3:D$537,2,)</f>
        <v>Coconut Sugar Syrup 椰糖浆</v>
      </c>
      <c r="E18" s="487"/>
      <c r="F18" s="487"/>
      <c r="G18" s="76">
        <v>2</v>
      </c>
      <c r="H18" s="415" t="str">
        <f>VLOOKUP(C18,'Sales Master'!$B$3:$F$2488,5,0)</f>
        <v>GW: 5 KG/ Btl支</v>
      </c>
      <c r="I18" s="494" t="str">
        <f>VLOOKUP(C18,'Sales Master'!$B$3:$E$2488,4,0)</f>
        <v>DO!</v>
      </c>
      <c r="J18" s="494"/>
      <c r="K18" s="80">
        <f>VLOOKUP(C18,'Sales Master'!B$3:S$537,18,0)</f>
        <v>20</v>
      </c>
      <c r="L18" s="64">
        <f>K18*G18</f>
        <v>40</v>
      </c>
      <c r="M18" s="65"/>
      <c r="N18" s="145">
        <f>VLOOKUP(C18,'Sales Master'!$B$3:$DA$2279,104,0)</f>
        <v>8.89</v>
      </c>
      <c r="O18" s="145">
        <f>K18-N18</f>
        <v>11.11</v>
      </c>
      <c r="P18" s="145">
        <f>O18*G18</f>
        <v>22.22</v>
      </c>
      <c r="R18" s="19">
        <v>1</v>
      </c>
      <c r="S18" s="19" t="s">
        <v>54</v>
      </c>
      <c r="T18" s="19" t="s">
        <v>328</v>
      </c>
      <c r="V18" s="19">
        <v>7.5</v>
      </c>
    </row>
    <row r="19" spans="2:22" ht="20.149999999999999" customHeight="1" x14ac:dyDescent="0.45">
      <c r="B19" s="29"/>
      <c r="C19" s="17"/>
      <c r="D19" s="487"/>
      <c r="E19" s="487"/>
      <c r="F19" s="487"/>
      <c r="G19" s="76"/>
      <c r="H19" s="56"/>
      <c r="I19" s="494"/>
      <c r="J19" s="494"/>
      <c r="K19" s="80"/>
      <c r="L19" s="64"/>
      <c r="M19" s="65"/>
      <c r="N19" s="145"/>
      <c r="O19" s="145"/>
      <c r="P19" s="145"/>
      <c r="R19" s="19">
        <v>2</v>
      </c>
      <c r="S19" s="19" t="s">
        <v>54</v>
      </c>
      <c r="T19" s="19" t="s">
        <v>405</v>
      </c>
      <c r="V19" s="19">
        <v>15</v>
      </c>
    </row>
    <row r="20" spans="2:22" ht="20.149999999999999" customHeight="1" x14ac:dyDescent="0.45">
      <c r="B20" s="29"/>
      <c r="C20" s="17"/>
      <c r="D20" s="487"/>
      <c r="E20" s="487"/>
      <c r="F20" s="487"/>
      <c r="G20" s="76"/>
      <c r="H20" s="56"/>
      <c r="I20" s="494"/>
      <c r="J20" s="494"/>
      <c r="K20" s="80"/>
      <c r="L20" s="64"/>
      <c r="M20" s="65"/>
      <c r="R20" s="19">
        <v>1</v>
      </c>
      <c r="S20" s="19" t="s">
        <v>52</v>
      </c>
      <c r="T20" s="19" t="s">
        <v>432</v>
      </c>
      <c r="V20" s="19">
        <v>42</v>
      </c>
    </row>
    <row r="21" spans="2:22" ht="20.149999999999999" customHeight="1" x14ac:dyDescent="0.45">
      <c r="B21" s="29"/>
      <c r="C21" s="17"/>
      <c r="D21" s="487"/>
      <c r="E21" s="487"/>
      <c r="F21" s="487"/>
      <c r="G21" s="76"/>
      <c r="H21" s="56"/>
      <c r="I21" s="494"/>
      <c r="J21" s="494"/>
      <c r="K21" s="80"/>
      <c r="L21" s="64"/>
      <c r="M21" s="65"/>
      <c r="R21" s="19">
        <v>1</v>
      </c>
      <c r="S21" s="19" t="s">
        <v>43</v>
      </c>
      <c r="T21" s="19" t="s">
        <v>428</v>
      </c>
      <c r="V21" s="19">
        <v>19</v>
      </c>
    </row>
    <row r="22" spans="2:22" ht="20.149999999999999" customHeight="1" x14ac:dyDescent="0.45">
      <c r="B22" s="29"/>
      <c r="C22" s="17"/>
      <c r="D22" s="487"/>
      <c r="E22" s="487"/>
      <c r="F22" s="487"/>
      <c r="G22" s="76"/>
      <c r="H22" s="56"/>
      <c r="I22" s="494"/>
      <c r="J22" s="494"/>
      <c r="K22" s="80"/>
      <c r="L22" s="64"/>
      <c r="M22" s="65"/>
      <c r="R22" s="19">
        <v>1</v>
      </c>
      <c r="S22" s="19" t="s">
        <v>41</v>
      </c>
      <c r="T22" s="19" t="s">
        <v>72</v>
      </c>
      <c r="V22" s="19">
        <v>15</v>
      </c>
    </row>
    <row r="23" spans="2:22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80"/>
      <c r="L23" s="64"/>
      <c r="M23" s="65"/>
      <c r="R23" s="19">
        <v>1</v>
      </c>
      <c r="S23" s="19" t="s">
        <v>334</v>
      </c>
      <c r="T23" s="19" t="s">
        <v>47</v>
      </c>
      <c r="V23" s="19">
        <v>8</v>
      </c>
    </row>
    <row r="24" spans="2:22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80"/>
      <c r="L24" s="64"/>
      <c r="M24" s="65"/>
      <c r="R24" s="19">
        <v>3</v>
      </c>
      <c r="S24" s="19" t="s">
        <v>196</v>
      </c>
      <c r="T24" s="19" t="s">
        <v>32</v>
      </c>
      <c r="V24" s="19">
        <v>13</v>
      </c>
    </row>
    <row r="25" spans="2:22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80"/>
      <c r="L25" s="64"/>
      <c r="M25" s="65"/>
      <c r="R25" s="19">
        <v>1</v>
      </c>
      <c r="S25" s="19" t="s">
        <v>34</v>
      </c>
      <c r="T25" s="19" t="s">
        <v>61</v>
      </c>
      <c r="V25" s="19">
        <v>9.5</v>
      </c>
    </row>
    <row r="26" spans="2:22" ht="20.149999999999999" customHeight="1" x14ac:dyDescent="0.45">
      <c r="B26" s="29"/>
      <c r="C26" s="17"/>
      <c r="G26" s="76"/>
      <c r="H26" s="56"/>
      <c r="I26" s="494"/>
      <c r="J26" s="494"/>
      <c r="K26" s="80"/>
      <c r="L26" s="64"/>
      <c r="M26" s="65"/>
      <c r="R26" s="19">
        <v>3</v>
      </c>
      <c r="S26" s="19" t="s">
        <v>34</v>
      </c>
      <c r="T26" s="19" t="s">
        <v>62</v>
      </c>
      <c r="V26" s="19">
        <v>2</v>
      </c>
    </row>
    <row r="27" spans="2:22" ht="20.149999999999999" customHeight="1" x14ac:dyDescent="0.45">
      <c r="B27" s="29"/>
      <c r="C27" s="17"/>
      <c r="G27" s="76"/>
      <c r="H27" s="56"/>
      <c r="I27" s="494"/>
      <c r="J27" s="494"/>
      <c r="K27" s="80"/>
      <c r="L27" s="64"/>
      <c r="M27" s="65"/>
      <c r="R27" s="19">
        <v>2</v>
      </c>
      <c r="S27" s="19" t="s">
        <v>34</v>
      </c>
      <c r="T27" s="19" t="s">
        <v>32</v>
      </c>
      <c r="V27" s="19">
        <v>2</v>
      </c>
    </row>
    <row r="28" spans="2:22" ht="20.149999999999999" customHeight="1" x14ac:dyDescent="0.45">
      <c r="B28" s="29"/>
      <c r="C28" s="17"/>
      <c r="D28" s="487"/>
      <c r="E28" s="487"/>
      <c r="F28" s="487"/>
      <c r="G28" s="17"/>
      <c r="H28" s="56"/>
      <c r="I28" s="494"/>
      <c r="J28" s="494"/>
      <c r="K28" s="80"/>
      <c r="L28" s="64"/>
    </row>
    <row r="29" spans="2:22" ht="20.149999999999999" customHeight="1" thickBot="1" x14ac:dyDescent="0.5">
      <c r="B29" s="32"/>
      <c r="C29" s="33"/>
      <c r="D29" s="488"/>
      <c r="E29" s="488"/>
      <c r="F29" s="488"/>
      <c r="G29" s="33"/>
      <c r="H29" s="57"/>
      <c r="I29" s="459"/>
      <c r="J29" s="459"/>
      <c r="K29" s="34"/>
      <c r="L29" s="3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89" t="s">
        <v>13</v>
      </c>
      <c r="K31" s="490"/>
      <c r="L31" s="38">
        <f>SUM(L17:L28)</f>
        <v>40</v>
      </c>
      <c r="M31" s="63">
        <f>SUM(P18:P29)</f>
        <v>22.22</v>
      </c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91" t="s">
        <v>19</v>
      </c>
      <c r="K33" s="492"/>
      <c r="L33" s="41">
        <f>L31-L32</f>
        <v>40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3.5999999999999996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85" t="s">
        <v>21</v>
      </c>
      <c r="K35" s="486"/>
      <c r="L35" s="43">
        <f>L33+L34</f>
        <v>43.6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B1:L8"/>
    <mergeCell ref="J35:K35"/>
    <mergeCell ref="D28:F28"/>
    <mergeCell ref="I28:J28"/>
    <mergeCell ref="D29:F29"/>
    <mergeCell ref="I29:J29"/>
    <mergeCell ref="J31:K31"/>
    <mergeCell ref="J33:K33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I26:J26"/>
    <mergeCell ref="I27:J27"/>
    <mergeCell ref="D19:F19"/>
    <mergeCell ref="I19:J19"/>
    <mergeCell ref="D20:F20"/>
    <mergeCell ref="I20:J20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6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F258F-7BC3-4C5A-852A-4EBE25449E67}">
  <sheetPr codeName="Sheet43">
    <tabColor rgb="FFFFC000"/>
    <pageSetUpPr fitToPage="1"/>
  </sheetPr>
  <dimension ref="B1:P47"/>
  <sheetViews>
    <sheetView topLeftCell="B29" zoomScaleNormal="100" workbookViewId="0">
      <selection activeCell="D29" sqref="D29:F2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7.26953125" style="19" bestFit="1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167</v>
      </c>
      <c r="J10" s="24" t="s">
        <v>27</v>
      </c>
      <c r="K10" s="464">
        <v>202504278</v>
      </c>
      <c r="L10" s="465"/>
    </row>
    <row r="11" spans="2:12" ht="20.149999999999999" customHeight="1" x14ac:dyDescent="0.45">
      <c r="B11" s="466" t="s">
        <v>361</v>
      </c>
      <c r="C11" s="467"/>
      <c r="D11" s="468"/>
      <c r="E11" s="25"/>
      <c r="F11" s="469" t="str">
        <f>VLOOKUP(H10,'Delivery Location'!A$4:N$466,2,0)</f>
        <v xml:space="preserve">Spectrum Food Centre Pte Ltd               No.2 Woodlands Sector 1. #01-28  Woodlands Spectrum 1. Singapore 738068              </v>
      </c>
      <c r="G11" s="470"/>
      <c r="H11" s="471"/>
      <c r="J11" s="26" t="s">
        <v>9</v>
      </c>
      <c r="K11" s="478">
        <v>45758</v>
      </c>
      <c r="L11" s="479"/>
    </row>
    <row r="12" spans="2:12" ht="20.149999999999999" customHeight="1" x14ac:dyDescent="0.45">
      <c r="B12" s="480" t="s">
        <v>362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536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451</v>
      </c>
      <c r="L13" s="483"/>
    </row>
    <row r="14" spans="2:12" ht="20.149999999999999" customHeight="1" x14ac:dyDescent="0.45">
      <c r="B14" s="480" t="s">
        <v>537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08" t="s">
        <v>363</v>
      </c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956</v>
      </c>
      <c r="D18" s="487" t="str">
        <f>VLOOKUP(C18,'Sales Master'!B$3:D$537,2,)</f>
        <v>GingKo Nut 白果罐</v>
      </c>
      <c r="E18" s="487"/>
      <c r="F18" s="487"/>
      <c r="G18" s="76">
        <v>1</v>
      </c>
      <c r="H18" s="186" t="str">
        <f>VLOOKUP(C18,'Sales Master'!$B$3:$F$2488,5,0)</f>
        <v>397 GM x 24/ Ctn箱</v>
      </c>
      <c r="I18" s="484" t="str">
        <f>VLOOKUP(C18,'Sales Master'!$B$3:$E$2488,4,0)</f>
        <v>Golden Champ</v>
      </c>
      <c r="J18" s="484"/>
      <c r="K18" s="80">
        <f>VLOOKUP(C18,'Sales Master'!B$3:S$509,18,0)</f>
        <v>32</v>
      </c>
      <c r="L18" s="64">
        <f t="shared" ref="L18" si="0">K18*G18</f>
        <v>32</v>
      </c>
      <c r="M18" s="65"/>
      <c r="N18" s="145">
        <f>VLOOKUP(C18,'Sales Master'!$B$3:$DA$2279,104,0)</f>
        <v>21</v>
      </c>
      <c r="O18" s="145">
        <f t="shared" ref="O18" si="1">K18-N18</f>
        <v>11</v>
      </c>
      <c r="P18" s="145">
        <f t="shared" ref="P18" si="2">O18*G18</f>
        <v>11</v>
      </c>
    </row>
    <row r="19" spans="2:16" ht="20.149999999999999" customHeight="1" x14ac:dyDescent="0.45">
      <c r="B19" s="29"/>
      <c r="C19" s="212" t="s">
        <v>1009</v>
      </c>
      <c r="D19" s="487" t="str">
        <f>VLOOKUP(C19,'Sales Master'!B$3:D$537,2,)</f>
        <v>Pandan Leaf 班兰叶</v>
      </c>
      <c r="E19" s="487"/>
      <c r="F19" s="487"/>
      <c r="G19" s="76">
        <v>2</v>
      </c>
      <c r="H19" s="186" t="str">
        <f>VLOOKUP(C19,'Sales Master'!$B$3:$F$2488,5,0)</f>
        <v>1 KG</v>
      </c>
      <c r="I19" s="484" t="str">
        <f>VLOOKUP(C19,'Sales Master'!$B$3:$E$2488,4,0)</f>
        <v>-</v>
      </c>
      <c r="J19" s="484"/>
      <c r="K19" s="80">
        <f>VLOOKUP(C19,'Sales Master'!B$3:S$509,18,0)</f>
        <v>2.5</v>
      </c>
      <c r="L19" s="64">
        <f t="shared" ref="L19" si="3">K19*G19</f>
        <v>5</v>
      </c>
      <c r="M19" s="65"/>
      <c r="N19" s="145">
        <f>VLOOKUP(C19,'Sales Master'!$B$3:$DA$2279,104,0)</f>
        <v>1.1000000000000001</v>
      </c>
      <c r="O19" s="145">
        <f t="shared" ref="O19" si="4">K19-N19</f>
        <v>1.4</v>
      </c>
      <c r="P19" s="145">
        <f t="shared" ref="P19" si="5">O19*G19</f>
        <v>2.8</v>
      </c>
    </row>
    <row r="20" spans="2:16" ht="20.149999999999999" customHeight="1" x14ac:dyDescent="0.45">
      <c r="B20" s="29"/>
      <c r="C20" s="212"/>
      <c r="D20" s="487"/>
      <c r="E20" s="487"/>
      <c r="F20" s="487"/>
      <c r="G20" s="76"/>
      <c r="H20" s="186"/>
      <c r="I20" s="484"/>
      <c r="J20" s="484"/>
      <c r="K20" s="8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2"/>
      <c r="D21" s="487"/>
      <c r="E21" s="487"/>
      <c r="F21" s="487"/>
      <c r="G21" s="76"/>
      <c r="H21" s="186"/>
      <c r="I21" s="484"/>
      <c r="J21" s="484"/>
      <c r="K21" s="8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87"/>
      <c r="E22" s="487"/>
      <c r="F22" s="487"/>
      <c r="G22" s="76"/>
      <c r="H22" s="186"/>
      <c r="I22" s="484"/>
      <c r="J22" s="484"/>
      <c r="K22" s="8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D23" s="487"/>
      <c r="E23" s="487"/>
      <c r="F23" s="487"/>
      <c r="G23" s="76"/>
      <c r="H23" s="186"/>
      <c r="I23" s="484"/>
      <c r="J23" s="484"/>
      <c r="K23" s="8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D24" s="487"/>
      <c r="E24" s="487"/>
      <c r="F24" s="487"/>
      <c r="G24" s="76"/>
      <c r="H24" s="186"/>
      <c r="I24" s="484"/>
      <c r="J24" s="484"/>
      <c r="K24" s="8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2"/>
      <c r="D25" s="487"/>
      <c r="E25" s="487"/>
      <c r="F25" s="487"/>
      <c r="G25" s="76"/>
      <c r="H25" s="186"/>
      <c r="I25" s="484"/>
      <c r="J25" s="484"/>
      <c r="K25" s="8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2"/>
      <c r="D26" s="487"/>
      <c r="E26" s="487"/>
      <c r="F26" s="487"/>
      <c r="G26" s="76"/>
      <c r="H26" s="186"/>
      <c r="I26" s="484"/>
      <c r="J26" s="484"/>
      <c r="K26" s="8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2"/>
      <c r="D27" s="487"/>
      <c r="E27" s="487"/>
      <c r="F27" s="487"/>
      <c r="G27" s="76"/>
      <c r="H27" s="186"/>
      <c r="I27" s="484"/>
      <c r="J27" s="484"/>
      <c r="K27" s="8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53"/>
      <c r="G28" s="76"/>
      <c r="H28" s="85"/>
      <c r="I28" s="208"/>
      <c r="J28" s="208"/>
      <c r="K28" s="15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212"/>
      <c r="D29" s="487"/>
      <c r="E29" s="487"/>
      <c r="F29" s="487"/>
      <c r="G29" s="76"/>
      <c r="H29" s="186"/>
      <c r="I29" s="484"/>
      <c r="J29" s="484"/>
      <c r="K29" s="15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212"/>
      <c r="D30" s="487"/>
      <c r="E30" s="487"/>
      <c r="F30" s="487"/>
      <c r="G30" s="76"/>
      <c r="H30" s="186"/>
      <c r="I30" s="484"/>
      <c r="J30" s="484"/>
      <c r="K30" s="150"/>
      <c r="L30" s="64"/>
      <c r="M30" s="65"/>
      <c r="N30" s="145"/>
      <c r="O30" s="145"/>
      <c r="P30" s="145"/>
    </row>
    <row r="31" spans="2:16" ht="20.149999999999999" customHeight="1" x14ac:dyDescent="0.45">
      <c r="B31" s="29"/>
      <c r="C31" s="212"/>
      <c r="D31" s="487"/>
      <c r="E31" s="487"/>
      <c r="F31" s="487"/>
      <c r="G31" s="76"/>
      <c r="H31" s="186"/>
      <c r="I31" s="484"/>
      <c r="J31" s="484"/>
      <c r="K31" s="80"/>
      <c r="L31" s="64"/>
      <c r="M31" s="65"/>
      <c r="N31" s="145"/>
      <c r="O31" s="145"/>
      <c r="P31" s="145"/>
    </row>
    <row r="32" spans="2:16" ht="20.149999999999999" customHeight="1" x14ac:dyDescent="0.45">
      <c r="B32" s="66"/>
      <c r="C32" s="212"/>
      <c r="D32" s="487"/>
      <c r="E32" s="487"/>
      <c r="F32" s="487"/>
      <c r="G32" s="76"/>
      <c r="H32" s="186"/>
      <c r="I32" s="484"/>
      <c r="J32" s="484"/>
      <c r="K32" s="80"/>
      <c r="L32" s="84"/>
      <c r="M32" s="65"/>
      <c r="N32" s="145"/>
      <c r="O32" s="145"/>
      <c r="P32" s="145"/>
    </row>
    <row r="33" spans="2:14" ht="20.149999999999999" customHeight="1" thickBot="1" x14ac:dyDescent="0.5">
      <c r="B33" s="32"/>
      <c r="C33" s="33"/>
      <c r="D33" s="488"/>
      <c r="E33" s="488"/>
      <c r="F33" s="488"/>
      <c r="G33" s="33"/>
      <c r="H33" s="57"/>
      <c r="I33" s="459"/>
      <c r="J33" s="459"/>
      <c r="K33" s="34"/>
      <c r="L33" s="35"/>
    </row>
    <row r="34" spans="2:14" ht="20.149999999999999" customHeight="1" thickBot="1" x14ac:dyDescent="0.5">
      <c r="B34" s="36"/>
      <c r="L34" s="37"/>
    </row>
    <row r="35" spans="2:14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89" t="s">
        <v>13</v>
      </c>
      <c r="K35" s="490"/>
      <c r="L35" s="38">
        <f>SUM(L17:L32)</f>
        <v>37</v>
      </c>
      <c r="M35" s="63">
        <f>SUM(P18:P33)</f>
        <v>13.8</v>
      </c>
      <c r="N35" s="133">
        <f>M35/L35</f>
        <v>0.37297297297297299</v>
      </c>
    </row>
    <row r="36" spans="2:14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4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91" t="s">
        <v>19</v>
      </c>
      <c r="K37" s="492"/>
      <c r="L37" s="41">
        <f>L35-L36</f>
        <v>37</v>
      </c>
    </row>
    <row r="38" spans="2:14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3.33</v>
      </c>
    </row>
    <row r="39" spans="2:14" ht="20.149999999999999" customHeight="1" thickBot="1" x14ac:dyDescent="0.5">
      <c r="B39" s="10" t="s">
        <v>23</v>
      </c>
      <c r="C39" s="6"/>
      <c r="D39" s="6"/>
      <c r="E39" s="6"/>
      <c r="F39" s="6"/>
      <c r="G39" s="6"/>
      <c r="H39" s="6"/>
      <c r="I39" s="6"/>
      <c r="J39" s="485" t="s">
        <v>21</v>
      </c>
      <c r="K39" s="486"/>
      <c r="L39" s="43">
        <f>L37+L38</f>
        <v>40.33</v>
      </c>
    </row>
    <row r="40" spans="2:14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44"/>
      <c r="C45" s="45"/>
      <c r="D45" s="45"/>
      <c r="J45" s="45"/>
      <c r="K45" s="45"/>
      <c r="L45" s="46"/>
    </row>
    <row r="46" spans="2:14" ht="20.149999999999999" customHeight="1" x14ac:dyDescent="0.45">
      <c r="B46" s="36" t="s">
        <v>25</v>
      </c>
      <c r="J46" s="19" t="s">
        <v>26</v>
      </c>
      <c r="L46" s="37"/>
    </row>
    <row r="47" spans="2:14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8">
    <mergeCell ref="I25:J25"/>
    <mergeCell ref="B1:L8"/>
    <mergeCell ref="D17:F17"/>
    <mergeCell ref="I17:J17"/>
    <mergeCell ref="D18:F18"/>
    <mergeCell ref="I18:J18"/>
    <mergeCell ref="B15:D15"/>
    <mergeCell ref="K10:L10"/>
    <mergeCell ref="B11:D11"/>
    <mergeCell ref="F11:H15"/>
    <mergeCell ref="K11:L11"/>
    <mergeCell ref="B12:D12"/>
    <mergeCell ref="K12:L12"/>
    <mergeCell ref="K13:L13"/>
    <mergeCell ref="K15:L15"/>
    <mergeCell ref="K14:L14"/>
    <mergeCell ref="B14:D14"/>
    <mergeCell ref="I21:J21"/>
    <mergeCell ref="D25:F25"/>
    <mergeCell ref="D22:F22"/>
    <mergeCell ref="J39:K39"/>
    <mergeCell ref="D33:F33"/>
    <mergeCell ref="I33:J33"/>
    <mergeCell ref="J35:K35"/>
    <mergeCell ref="J37:K37"/>
    <mergeCell ref="D21:F21"/>
    <mergeCell ref="I20:J20"/>
    <mergeCell ref="D24:F24"/>
    <mergeCell ref="I24:J24"/>
    <mergeCell ref="D23:F23"/>
    <mergeCell ref="I22:J22"/>
    <mergeCell ref="I23:J23"/>
    <mergeCell ref="B13:D13"/>
    <mergeCell ref="D32:F32"/>
    <mergeCell ref="I32:J32"/>
    <mergeCell ref="D27:F27"/>
    <mergeCell ref="I27:J27"/>
    <mergeCell ref="D26:F26"/>
    <mergeCell ref="I26:J26"/>
    <mergeCell ref="D20:F20"/>
    <mergeCell ref="D31:F31"/>
    <mergeCell ref="I31:J31"/>
    <mergeCell ref="D29:F29"/>
    <mergeCell ref="I29:J29"/>
    <mergeCell ref="D19:F19"/>
    <mergeCell ref="I19:J19"/>
    <mergeCell ref="D30:F30"/>
    <mergeCell ref="I30:J30"/>
  </mergeCells>
  <conditionalFormatting sqref="C28">
    <cfRule type="duplicateValues" dxfId="220" priority="1"/>
  </conditionalFormatting>
  <pageMargins left="0.70866141732283505" right="0.31496062992126" top="0.59055118110236204" bottom="0" header="0.31496062992126" footer="0.31496062992126"/>
  <pageSetup paperSize="9" scale="75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61109-E350-4442-8876-CBC301BD98A4}">
  <sheetPr codeName="Sheet158">
    <tabColor rgb="FF7030A0"/>
    <pageSetUpPr fitToPage="1"/>
  </sheetPr>
  <dimension ref="B1:P40"/>
  <sheetViews>
    <sheetView topLeftCell="A17" workbookViewId="0">
      <selection activeCell="D23" sqref="D23:F2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168</v>
      </c>
      <c r="J10" s="24" t="s">
        <v>27</v>
      </c>
      <c r="K10" s="464">
        <v>202207351</v>
      </c>
      <c r="L10" s="465"/>
    </row>
    <row r="11" spans="2:12" ht="20.149999999999999" customHeight="1" x14ac:dyDescent="0.45">
      <c r="B11" s="466" t="s">
        <v>347</v>
      </c>
      <c r="C11" s="467"/>
      <c r="D11" s="468"/>
      <c r="E11" s="25"/>
      <c r="F11" s="469" t="str">
        <f>VLOOKUP(H10,'Delivery Location'!A$4:N$466,2,0)</f>
        <v>Tan Soon Mui Food Industries                       8, Woodlands Terrace. Singapore 738433.</v>
      </c>
      <c r="G11" s="470"/>
      <c r="H11" s="471"/>
      <c r="J11" s="26" t="s">
        <v>9</v>
      </c>
      <c r="K11" s="478">
        <v>44763</v>
      </c>
      <c r="L11" s="479"/>
    </row>
    <row r="12" spans="2:12" ht="20.149999999999999" customHeight="1" x14ac:dyDescent="0.45">
      <c r="B12" s="480" t="s">
        <v>348</v>
      </c>
      <c r="C12" s="453"/>
      <c r="D12" s="481"/>
      <c r="E12" s="25"/>
      <c r="F12" s="472"/>
      <c r="G12" s="473"/>
      <c r="H12" s="474"/>
      <c r="J12" s="26" t="s">
        <v>127</v>
      </c>
      <c r="K12" s="482"/>
      <c r="L12" s="483"/>
    </row>
    <row r="13" spans="2:12" ht="20.149999999999999" customHeight="1" x14ac:dyDescent="0.45">
      <c r="B13" s="480" t="s">
        <v>349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359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08" t="s">
        <v>360</v>
      </c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 t="s">
        <v>704</v>
      </c>
      <c r="D18" s="487" t="str">
        <f>VLOOKUP(C18,'Sales Master'!B$3:D$537,2,)</f>
        <v>Strawberry Puree 草莓</v>
      </c>
      <c r="E18" s="487"/>
      <c r="F18" s="487"/>
      <c r="G18" s="17">
        <v>30</v>
      </c>
      <c r="H18" s="56" t="str">
        <f>VLOOKUP(C18,'Sales Master'!$B$3:$F$537,5,0)</f>
        <v>1 KG/ Box盒</v>
      </c>
      <c r="I18" s="494" t="str">
        <f>VLOOKUP(C18,'Sales Master'!$B$3:$E$537,4,0)</f>
        <v>DO!</v>
      </c>
      <c r="J18" s="494"/>
      <c r="K18" s="83">
        <f>VLOOKUP(C18,'Sales Master'!B3:$W$2440,22,0)</f>
        <v>10</v>
      </c>
      <c r="L18" s="64">
        <f>K18*G18</f>
        <v>300</v>
      </c>
      <c r="M18" s="81"/>
      <c r="N18" s="145">
        <f>VLOOKUP(C18,'Sales Master'!$B$3:$DA$2279,104,0)</f>
        <v>4.68</v>
      </c>
      <c r="O18" s="145">
        <f>K18-N18</f>
        <v>5.32</v>
      </c>
      <c r="P18" s="145">
        <f>O18*G18</f>
        <v>159.60000000000002</v>
      </c>
    </row>
    <row r="19" spans="2:16" ht="20.149999999999999" customHeight="1" x14ac:dyDescent="0.45">
      <c r="B19" s="29"/>
      <c r="C19" s="17"/>
      <c r="D19" s="487"/>
      <c r="E19" s="487"/>
      <c r="F19" s="487"/>
      <c r="G19" s="17"/>
      <c r="H19" s="56"/>
      <c r="I19" s="494"/>
      <c r="J19" s="494"/>
      <c r="K19" s="83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87"/>
      <c r="E20" s="487"/>
      <c r="F20" s="487"/>
      <c r="G20" s="17"/>
      <c r="H20" s="56"/>
      <c r="I20" s="494"/>
      <c r="J20" s="494"/>
      <c r="K20" s="80"/>
      <c r="L20" s="64"/>
      <c r="M20" s="65"/>
    </row>
    <row r="21" spans="2:16" ht="20.149999999999999" customHeight="1" x14ac:dyDescent="0.45">
      <c r="B21" s="29"/>
      <c r="C21" s="17"/>
      <c r="D21" s="487"/>
      <c r="E21" s="487"/>
      <c r="F21" s="487"/>
      <c r="G21" s="17"/>
      <c r="H21" s="56"/>
      <c r="I21" s="458"/>
      <c r="J21" s="458"/>
      <c r="K21" s="80"/>
      <c r="L21" s="64"/>
      <c r="M21" s="65"/>
    </row>
    <row r="22" spans="2:16" ht="20.149999999999999" customHeight="1" x14ac:dyDescent="0.45">
      <c r="B22" s="29"/>
      <c r="C22" s="189" t="s">
        <v>1075</v>
      </c>
      <c r="D22" s="18"/>
      <c r="E22" s="18"/>
      <c r="F22" s="18"/>
      <c r="G22" s="18"/>
      <c r="H22" s="56"/>
      <c r="I22" s="494"/>
      <c r="J22" s="494"/>
      <c r="K22" s="80"/>
      <c r="L22" s="64"/>
      <c r="M22" s="65"/>
    </row>
    <row r="23" spans="2:16" ht="20.149999999999999" customHeight="1" x14ac:dyDescent="0.45">
      <c r="B23" s="29"/>
      <c r="C23" s="17" t="s">
        <v>704</v>
      </c>
      <c r="D23" s="487" t="str">
        <f>VLOOKUP(C23,'Sales Master'!B$3:D$537,2,)</f>
        <v>Strawberry Puree 草莓</v>
      </c>
      <c r="E23" s="487"/>
      <c r="F23" s="487"/>
      <c r="G23" s="17">
        <v>1</v>
      </c>
      <c r="H23" s="56" t="str">
        <f>VLOOKUP(C23,'Sales Master'!$B$3:$E$537,4,0)</f>
        <v>DO!</v>
      </c>
      <c r="I23" s="494" t="str">
        <f>VLOOKUP(C23,'Sales Master'!$B$3:F$537,5,0)</f>
        <v>1 KG/ Box盒</v>
      </c>
      <c r="J23" s="494"/>
      <c r="K23" s="80">
        <v>8</v>
      </c>
      <c r="L23" s="64"/>
      <c r="M23" s="65"/>
    </row>
    <row r="24" spans="2:16" ht="20.149999999999999" customHeight="1" x14ac:dyDescent="0.45">
      <c r="B24" s="29"/>
      <c r="C24" s="17"/>
      <c r="D24" s="487"/>
      <c r="E24" s="487"/>
      <c r="F24" s="487"/>
      <c r="G24" s="17"/>
      <c r="H24" s="56"/>
      <c r="I24" s="458"/>
      <c r="J24" s="458"/>
      <c r="K24" s="80"/>
      <c r="L24" s="64"/>
      <c r="M24" s="65"/>
    </row>
    <row r="25" spans="2:16" ht="20.149999999999999" customHeight="1" x14ac:dyDescent="0.45">
      <c r="B25" s="29"/>
      <c r="C25" s="17"/>
      <c r="D25" s="487"/>
      <c r="E25" s="487"/>
      <c r="F25" s="487"/>
      <c r="G25" s="17"/>
      <c r="H25" s="56"/>
      <c r="I25" s="458"/>
      <c r="J25" s="458"/>
      <c r="K25" s="80"/>
      <c r="L25" s="64"/>
    </row>
    <row r="26" spans="2:16" ht="20.149999999999999" customHeight="1" thickBot="1" x14ac:dyDescent="0.5">
      <c r="B26" s="32"/>
      <c r="C26" s="33"/>
      <c r="D26" s="488"/>
      <c r="E26" s="488"/>
      <c r="F26" s="488"/>
      <c r="G26" s="33"/>
      <c r="H26" s="57"/>
      <c r="I26" s="459"/>
      <c r="J26" s="459"/>
      <c r="K26" s="34"/>
      <c r="L26" s="35"/>
    </row>
    <row r="27" spans="2:16" ht="20.149999999999999" customHeight="1" thickBot="1" x14ac:dyDescent="0.5">
      <c r="B27" s="36"/>
      <c r="L27" s="37"/>
    </row>
    <row r="28" spans="2:16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89" t="s">
        <v>13</v>
      </c>
      <c r="K28" s="490"/>
      <c r="L28" s="38">
        <f>SUM(L17:L25)</f>
        <v>300</v>
      </c>
      <c r="M28" s="63">
        <f>SUM(P18:P26)</f>
        <v>159.60000000000002</v>
      </c>
      <c r="N28" s="133">
        <f>M28/L28</f>
        <v>0.53200000000000003</v>
      </c>
    </row>
    <row r="29" spans="2:16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6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91" t="s">
        <v>19</v>
      </c>
      <c r="K30" s="492"/>
      <c r="L30" s="41">
        <f>L28-L29</f>
        <v>300</v>
      </c>
    </row>
    <row r="31" spans="2:16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27</v>
      </c>
    </row>
    <row r="32" spans="2:16" ht="20.149999999999999" customHeight="1" thickBot="1" x14ac:dyDescent="0.5">
      <c r="B32" s="10" t="s">
        <v>23</v>
      </c>
      <c r="C32" s="6"/>
      <c r="D32" s="6"/>
      <c r="E32" s="6"/>
      <c r="F32" s="6"/>
      <c r="G32" s="6"/>
      <c r="H32" s="6"/>
      <c r="I32" s="6"/>
      <c r="J32" s="485" t="s">
        <v>21</v>
      </c>
      <c r="K32" s="486"/>
      <c r="L32" s="43">
        <f>L30+L31</f>
        <v>327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</sheetData>
  <mergeCells count="35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0:F20"/>
    <mergeCell ref="I20:J20"/>
    <mergeCell ref="D17:F17"/>
    <mergeCell ref="I17:J17"/>
    <mergeCell ref="D18:F18"/>
    <mergeCell ref="I18:J18"/>
    <mergeCell ref="D19:F19"/>
    <mergeCell ref="I19:J19"/>
    <mergeCell ref="D23:F23"/>
    <mergeCell ref="I23:J23"/>
    <mergeCell ref="D24:F24"/>
    <mergeCell ref="I24:J24"/>
    <mergeCell ref="D21:F21"/>
    <mergeCell ref="I21:J21"/>
    <mergeCell ref="I22:J22"/>
    <mergeCell ref="J32:K32"/>
    <mergeCell ref="D25:F25"/>
    <mergeCell ref="I25:J25"/>
    <mergeCell ref="D26:F26"/>
    <mergeCell ref="I26:J26"/>
    <mergeCell ref="J28:K28"/>
    <mergeCell ref="J30:K30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D28F6-5902-4F92-AA2E-373D7E79FB1E}">
  <sheetPr codeName="Sheet165">
    <tabColor rgb="FFFFC000"/>
    <pageSetUpPr fitToPage="1"/>
  </sheetPr>
  <dimension ref="B1:DA142"/>
  <sheetViews>
    <sheetView topLeftCell="B12" workbookViewId="0">
      <selection activeCell="H20" sqref="H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169</v>
      </c>
      <c r="J10" s="24" t="s">
        <v>27</v>
      </c>
      <c r="K10" s="464">
        <v>202501132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 -  Dim Sum                                          9 Tampines Street 32,   Tampines Mart. Singapore 529287.             </v>
      </c>
      <c r="G11" s="470"/>
      <c r="H11" s="471"/>
      <c r="J11" s="26" t="s">
        <v>9</v>
      </c>
      <c r="K11" s="478">
        <v>45663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7" ht="20.149999999999999" customHeight="1" x14ac:dyDescent="0.45">
      <c r="B18" s="29"/>
      <c r="C18" s="212" t="s">
        <v>966</v>
      </c>
      <c r="D18" s="487" t="str">
        <f>VLOOKUP(C18,'Sales Master'!B$3:D$537,2,)</f>
        <v>Coconut Milk 椰浆</v>
      </c>
      <c r="E18" s="487"/>
      <c r="F18" s="487"/>
      <c r="G18" s="17">
        <v>2</v>
      </c>
      <c r="H18" s="186" t="str">
        <f>VLOOKUP(C18,'Sales Master'!$B$3:$F$2420,5,0)</f>
        <v>(1L x 12bag)/箱</v>
      </c>
      <c r="I18" s="484" t="str">
        <f>VLOOKUP(C18,'Sales Master'!$B$3:$E$2420,4,0)</f>
        <v>Kara UHT</v>
      </c>
      <c r="J18" s="484"/>
      <c r="K18" s="30">
        <f>VLOOKUP(C18,'Sales Master'!$B$3:$J$537,9,0)</f>
        <v>54</v>
      </c>
      <c r="L18" s="64">
        <f t="shared" ref="L18" si="0">K18*G18</f>
        <v>108</v>
      </c>
    </row>
    <row r="19" spans="2:17" ht="20.149999999999999" customHeight="1" x14ac:dyDescent="0.45">
      <c r="B19" s="29"/>
      <c r="C19" s="212"/>
      <c r="D19" s="487"/>
      <c r="E19" s="487"/>
      <c r="F19" s="487"/>
      <c r="G19" s="17"/>
      <c r="H19" s="186"/>
      <c r="I19" s="484"/>
      <c r="J19" s="484"/>
      <c r="K19" s="30"/>
      <c r="L19" s="64"/>
    </row>
    <row r="20" spans="2:17" ht="20.149999999999999" customHeight="1" x14ac:dyDescent="0.45">
      <c r="B20" s="29"/>
      <c r="C20" s="212"/>
      <c r="D20" s="487"/>
      <c r="E20" s="487"/>
      <c r="F20" s="487"/>
      <c r="G20" s="17"/>
      <c r="H20" s="186"/>
      <c r="I20" s="484"/>
      <c r="J20" s="484"/>
      <c r="K20" s="30"/>
      <c r="L20" s="64"/>
      <c r="N20" s="145"/>
      <c r="O20" s="145"/>
      <c r="P20" s="145"/>
      <c r="Q20" s="170"/>
    </row>
    <row r="21" spans="2:17" ht="20.149999999999999" customHeight="1" x14ac:dyDescent="0.45">
      <c r="B21" s="29"/>
      <c r="C21" s="212"/>
      <c r="D21" s="487"/>
      <c r="E21" s="487"/>
      <c r="F21" s="487"/>
      <c r="G21" s="17"/>
      <c r="H21" s="186"/>
      <c r="I21" s="484"/>
      <c r="J21" s="484"/>
      <c r="K21" s="30"/>
      <c r="L21" s="64"/>
      <c r="N21" s="145"/>
      <c r="O21" s="145"/>
      <c r="P21" s="145"/>
      <c r="Q21" s="170"/>
    </row>
    <row r="22" spans="2:17" ht="20.149999999999999" customHeight="1" x14ac:dyDescent="0.45">
      <c r="B22" s="29"/>
      <c r="C22" s="149" t="s">
        <v>2271</v>
      </c>
      <c r="D22" s="403"/>
      <c r="E22" s="403"/>
      <c r="F22" s="403"/>
      <c r="G22" s="76"/>
      <c r="H22" s="186"/>
      <c r="I22" s="484"/>
      <c r="J22" s="484"/>
      <c r="K22" s="190"/>
      <c r="L22" s="64"/>
      <c r="N22" s="145"/>
      <c r="O22" s="145"/>
      <c r="P22" s="145"/>
      <c r="Q22" s="170"/>
    </row>
    <row r="23" spans="2:17" ht="20.149999999999999" customHeight="1" x14ac:dyDescent="0.45">
      <c r="B23" s="29"/>
      <c r="C23" s="212" t="s">
        <v>966</v>
      </c>
      <c r="D23" s="493" t="e">
        <f>VLOOKUP(C23,#REF!,2,0)</f>
        <v>#REF!</v>
      </c>
      <c r="E23" s="493"/>
      <c r="F23" s="493"/>
      <c r="G23" s="17">
        <v>1</v>
      </c>
      <c r="H23" s="186" t="e">
        <f>VLOOKUP(C23,#REF!,5,0)</f>
        <v>#REF!</v>
      </c>
      <c r="I23" s="484" t="e">
        <f>VLOOKUP(C23,#REF!,4,0)</f>
        <v>#REF!</v>
      </c>
      <c r="J23" s="484"/>
      <c r="K23" s="190">
        <v>48</v>
      </c>
      <c r="L23" s="64"/>
      <c r="N23" s="145"/>
      <c r="O23" s="145"/>
      <c r="P23" s="145"/>
      <c r="Q23" s="170"/>
    </row>
    <row r="24" spans="2:17" ht="20.149999999999999" customHeight="1" x14ac:dyDescent="0.45">
      <c r="B24" s="29"/>
      <c r="C24" s="212"/>
      <c r="D24" s="487"/>
      <c r="E24" s="487"/>
      <c r="F24" s="487"/>
      <c r="G24" s="17"/>
      <c r="H24" s="186"/>
      <c r="I24" s="484"/>
      <c r="J24" s="484"/>
      <c r="K24" s="30"/>
      <c r="L24" s="64"/>
      <c r="N24" s="145"/>
      <c r="O24" s="145"/>
      <c r="P24" s="145"/>
      <c r="Q24" s="170"/>
    </row>
    <row r="25" spans="2:17" ht="20.149999999999999" customHeight="1" x14ac:dyDescent="0.45">
      <c r="B25" s="29"/>
      <c r="C25" s="212"/>
      <c r="D25" s="487"/>
      <c r="E25" s="487"/>
      <c r="F25" s="487"/>
      <c r="G25" s="17"/>
      <c r="H25" s="186"/>
      <c r="I25" s="484"/>
      <c r="J25" s="484"/>
      <c r="K25" s="30"/>
      <c r="L25" s="64"/>
      <c r="N25" s="145"/>
      <c r="O25" s="145"/>
      <c r="P25" s="145"/>
      <c r="Q25" s="170"/>
    </row>
    <row r="26" spans="2:17" ht="20.149999999999999" customHeight="1" x14ac:dyDescent="0.45">
      <c r="B26" s="29"/>
      <c r="C26" s="212"/>
      <c r="D26" s="487"/>
      <c r="E26" s="487"/>
      <c r="F26" s="487"/>
      <c r="G26" s="17"/>
      <c r="H26" s="186"/>
      <c r="I26" s="484"/>
      <c r="J26" s="484"/>
      <c r="K26" s="30"/>
      <c r="L26" s="64"/>
      <c r="N26" s="145"/>
      <c r="O26" s="145"/>
      <c r="P26" s="145"/>
      <c r="Q26" s="170"/>
    </row>
    <row r="27" spans="2:17" ht="20" customHeight="1" x14ac:dyDescent="0.45">
      <c r="B27" s="29"/>
      <c r="C27" s="212"/>
      <c r="D27" s="487"/>
      <c r="E27" s="487"/>
      <c r="F27" s="487"/>
      <c r="G27" s="17"/>
      <c r="H27" s="186"/>
      <c r="I27" s="484"/>
      <c r="J27" s="484"/>
      <c r="K27" s="30"/>
      <c r="L27" s="64"/>
      <c r="N27" s="145"/>
      <c r="O27" s="145"/>
      <c r="P27" s="145"/>
      <c r="Q27" s="170"/>
    </row>
    <row r="28" spans="2:17" ht="20.149999999999999" customHeight="1" x14ac:dyDescent="0.45">
      <c r="B28" s="29"/>
      <c r="C28" s="17"/>
      <c r="D28" s="524"/>
      <c r="E28" s="524"/>
      <c r="F28" s="524"/>
      <c r="G28" s="17"/>
      <c r="H28" s="186"/>
      <c r="I28" s="484"/>
      <c r="J28" s="484"/>
      <c r="K28" s="30"/>
      <c r="L28" s="64"/>
      <c r="N28" s="145"/>
      <c r="O28" s="145"/>
      <c r="P28" s="145"/>
      <c r="Q28" s="170"/>
    </row>
    <row r="29" spans="2:17" ht="20.149999999999999" customHeight="1" thickBot="1" x14ac:dyDescent="0.5">
      <c r="B29" s="32"/>
      <c r="C29" s="33"/>
      <c r="D29" s="488"/>
      <c r="E29" s="488"/>
      <c r="F29" s="488"/>
      <c r="G29" s="33"/>
      <c r="H29" s="33"/>
      <c r="I29" s="33"/>
      <c r="J29" s="33"/>
      <c r="K29" s="34"/>
      <c r="L29" s="35"/>
    </row>
    <row r="30" spans="2:17" ht="20.149999999999999" customHeight="1" thickBot="1" x14ac:dyDescent="0.5">
      <c r="B30" s="36"/>
      <c r="L30" s="37"/>
    </row>
    <row r="31" spans="2:17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89" t="s">
        <v>13</v>
      </c>
      <c r="K31" s="490"/>
      <c r="L31" s="38">
        <f>SUM(L16:L29)</f>
        <v>108</v>
      </c>
      <c r="M31" s="63">
        <f>SUM(P18:P29)-L31*0.04</f>
        <v>-4.32</v>
      </c>
      <c r="N31" s="133">
        <f>M31/L31</f>
        <v>-0.04</v>
      </c>
    </row>
    <row r="32" spans="2:17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91" t="s">
        <v>19</v>
      </c>
      <c r="K33" s="492"/>
      <c r="L33" s="41">
        <f>L31-L32</f>
        <v>108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9.7199999999999989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85" t="s">
        <v>21</v>
      </c>
      <c r="K35" s="486"/>
      <c r="L35" s="43">
        <f>L33+L34</f>
        <v>117.72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142" spans="105:105" x14ac:dyDescent="0.45">
      <c r="DA142" s="19">
        <f>H142</f>
        <v>0</v>
      </c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8:F18"/>
    <mergeCell ref="I18:J18"/>
    <mergeCell ref="D17:F17"/>
    <mergeCell ref="D24:F24"/>
    <mergeCell ref="I24:J24"/>
    <mergeCell ref="D20:F20"/>
    <mergeCell ref="I20:J20"/>
    <mergeCell ref="I17:J17"/>
    <mergeCell ref="D21:F21"/>
    <mergeCell ref="I21:J21"/>
    <mergeCell ref="D23:F23"/>
    <mergeCell ref="I23:J23"/>
    <mergeCell ref="J35:K35"/>
    <mergeCell ref="D19:F19"/>
    <mergeCell ref="I19:J19"/>
    <mergeCell ref="I22:J22"/>
    <mergeCell ref="D25:F25"/>
    <mergeCell ref="I25:J25"/>
    <mergeCell ref="D28:F28"/>
    <mergeCell ref="I28:J28"/>
    <mergeCell ref="D29:F29"/>
    <mergeCell ref="J31:K31"/>
    <mergeCell ref="J33:K33"/>
    <mergeCell ref="D26:F26"/>
    <mergeCell ref="I26:J26"/>
    <mergeCell ref="D27:F27"/>
    <mergeCell ref="I27:J27"/>
  </mergeCells>
  <conditionalFormatting sqref="C22">
    <cfRule type="duplicateValues" dxfId="219" priority="1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677B1-5637-46A4-B6F6-75FA321B5DEF}">
  <sheetPr codeName="Sheet1">
    <tabColor rgb="FFFFC000"/>
    <pageSetUpPr fitToPage="1"/>
  </sheetPr>
  <dimension ref="B1:Q38"/>
  <sheetViews>
    <sheetView topLeftCell="B15" workbookViewId="0">
      <selection activeCell="B1" sqref="B1:L38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2695312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7.1796875" style="19" customWidth="1"/>
    <col min="9" max="9" width="2.54296875" style="19" customWidth="1"/>
    <col min="10" max="10" width="15.54296875" style="19" customWidth="1"/>
    <col min="11" max="11" width="12.54296875" style="19" customWidth="1"/>
    <col min="12" max="12" width="16.8164062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170</v>
      </c>
      <c r="J10" s="24" t="s">
        <v>27</v>
      </c>
      <c r="K10" s="464">
        <v>202501218</v>
      </c>
      <c r="L10" s="465"/>
    </row>
    <row r="11" spans="2:12" ht="20.149999999999999" customHeight="1" x14ac:dyDescent="0.45">
      <c r="B11" s="466"/>
      <c r="C11" s="467"/>
      <c r="D11" s="468"/>
      <c r="E11" s="25"/>
      <c r="F11" s="469" t="str">
        <f>VLOOKUP(H10,'Delivery Location'!A$4:N$466,2,0)</f>
        <v>Ronnie Kitchen Pte Ltd                            8A, Admiralty Street Food Exchange      #06-07. Singapore 757437.</v>
      </c>
      <c r="G11" s="470"/>
      <c r="H11" s="471"/>
      <c r="J11" s="26" t="s">
        <v>9</v>
      </c>
      <c r="K11" s="478">
        <v>45666</v>
      </c>
      <c r="L11" s="479"/>
    </row>
    <row r="12" spans="2:12" ht="20.149999999999999" customHeight="1" x14ac:dyDescent="0.45">
      <c r="B12" s="480"/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/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18"/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7" ht="20.149999999999999" customHeight="1" x14ac:dyDescent="0.45">
      <c r="B18" s="58"/>
      <c r="C18" s="212" t="s">
        <v>1008</v>
      </c>
      <c r="D18" s="493" t="str">
        <f>VLOOKUP(C18,'Sales Master'!B$3:D$537,2,)</f>
        <v>Yam Skinless 去皮芋头</v>
      </c>
      <c r="E18" s="493"/>
      <c r="F18" s="493"/>
      <c r="G18" s="76">
        <v>120</v>
      </c>
      <c r="H18" s="186" t="str">
        <f>VLOOKUP(C18,'Sales Master'!$B$3:$F$2420,5,0)</f>
        <v>1 KG</v>
      </c>
      <c r="I18" s="484" t="str">
        <f>VLOOKUP(C18,'Sales Master'!$B$3:$E$2420,4,0)</f>
        <v>Thailand</v>
      </c>
      <c r="J18" s="484"/>
      <c r="K18" s="83">
        <f>VLOOKUP(C18,'Sales Master'!B$3:X$537,23,0)</f>
        <v>7</v>
      </c>
      <c r="L18" s="84">
        <f>K18*G18</f>
        <v>840</v>
      </c>
      <c r="M18" s="65"/>
      <c r="N18" s="145">
        <f>VLOOKUP(C18,'Sales Master'!$B$3:$DA$2279,104,0)</f>
        <v>6.2</v>
      </c>
      <c r="O18" s="145">
        <f>K18-N18</f>
        <v>0.79999999999999982</v>
      </c>
      <c r="P18" s="145">
        <f>O18*G18</f>
        <v>95.999999999999972</v>
      </c>
    </row>
    <row r="19" spans="2:17" ht="20.149999999999999" customHeight="1" x14ac:dyDescent="0.45">
      <c r="B19" s="58"/>
      <c r="C19" s="17"/>
      <c r="D19" s="493"/>
      <c r="E19" s="493"/>
      <c r="F19" s="493"/>
      <c r="G19" s="76"/>
      <c r="H19" s="56"/>
      <c r="I19" s="494"/>
      <c r="J19" s="494"/>
      <c r="K19" s="83"/>
      <c r="L19" s="84"/>
      <c r="M19" s="65"/>
      <c r="N19" s="145"/>
      <c r="O19" s="145"/>
      <c r="P19" s="145"/>
    </row>
    <row r="20" spans="2:17" ht="20.149999999999999" customHeight="1" x14ac:dyDescent="0.45">
      <c r="B20" s="58"/>
      <c r="C20" s="17"/>
      <c r="D20" s="493"/>
      <c r="E20" s="493"/>
      <c r="F20" s="493"/>
      <c r="G20" s="76"/>
      <c r="H20" s="56"/>
      <c r="I20" s="494"/>
      <c r="J20" s="494"/>
      <c r="K20" s="83"/>
      <c r="L20" s="84"/>
      <c r="M20" s="65"/>
      <c r="N20" s="145"/>
      <c r="O20" s="145"/>
      <c r="P20" s="145"/>
    </row>
    <row r="21" spans="2:17" ht="20.149999999999999" customHeight="1" x14ac:dyDescent="0.45">
      <c r="B21" s="58"/>
      <c r="C21" s="17"/>
      <c r="D21" s="493"/>
      <c r="E21" s="493"/>
      <c r="F21" s="493"/>
      <c r="G21" s="76"/>
      <c r="H21" s="56"/>
      <c r="I21" s="494"/>
      <c r="J21" s="494"/>
      <c r="K21" s="83"/>
      <c r="L21" s="84"/>
      <c r="M21" s="65"/>
      <c r="N21" s="145"/>
      <c r="O21" s="145"/>
      <c r="P21" s="145"/>
    </row>
    <row r="22" spans="2:17" ht="20.149999999999999" customHeight="1" x14ac:dyDescent="0.45">
      <c r="B22" s="58"/>
      <c r="C22" s="17"/>
      <c r="D22" s="493"/>
      <c r="E22" s="493"/>
      <c r="F22" s="493"/>
      <c r="G22" s="76"/>
      <c r="H22" s="56"/>
      <c r="I22" s="494"/>
      <c r="J22" s="494"/>
      <c r="K22" s="83"/>
      <c r="L22" s="84"/>
      <c r="M22" s="65"/>
      <c r="N22" s="145"/>
      <c r="O22" s="145"/>
      <c r="P22" s="145"/>
    </row>
    <row r="23" spans="2:17" ht="20.149999999999999" customHeight="1" x14ac:dyDescent="0.45">
      <c r="B23" s="58"/>
      <c r="C23" s="17"/>
      <c r="D23" s="493"/>
      <c r="E23" s="493"/>
      <c r="F23" s="493"/>
      <c r="G23" s="76"/>
      <c r="H23" s="56"/>
      <c r="I23" s="494"/>
      <c r="J23" s="494"/>
      <c r="K23" s="83"/>
      <c r="L23" s="84"/>
      <c r="M23" s="65"/>
      <c r="N23" s="145"/>
      <c r="O23" s="145"/>
      <c r="P23" s="145"/>
    </row>
    <row r="24" spans="2:17" ht="20.149999999999999" customHeight="1" x14ac:dyDescent="0.45">
      <c r="B24" s="58"/>
      <c r="C24" s="17"/>
      <c r="D24" s="493"/>
      <c r="E24" s="493"/>
      <c r="F24" s="493"/>
      <c r="G24" s="76"/>
      <c r="H24" s="56"/>
      <c r="I24" s="494"/>
      <c r="J24" s="494"/>
      <c r="K24" s="83"/>
      <c r="L24" s="84"/>
      <c r="M24" s="65"/>
      <c r="N24" s="145"/>
      <c r="O24" s="145"/>
      <c r="P24" s="145"/>
    </row>
    <row r="25" spans="2:17" ht="20.149999999999999" customHeight="1" x14ac:dyDescent="0.45">
      <c r="B25" s="122"/>
      <c r="C25" s="105"/>
      <c r="D25" s="552"/>
      <c r="E25" s="552"/>
      <c r="F25" s="552"/>
      <c r="G25" s="97"/>
      <c r="H25" s="124"/>
      <c r="I25" s="539"/>
      <c r="J25" s="539"/>
      <c r="K25" s="95"/>
      <c r="L25" s="98"/>
    </row>
    <row r="26" spans="2:17" ht="20.149999999999999" customHeight="1" x14ac:dyDescent="0.45">
      <c r="B26" s="10" t="s">
        <v>16</v>
      </c>
      <c r="C26" s="6"/>
      <c r="D26" s="6"/>
      <c r="E26" s="6"/>
      <c r="F26" s="6"/>
      <c r="G26" s="6"/>
      <c r="H26" s="6"/>
      <c r="I26" s="6"/>
      <c r="J26" s="550" t="s">
        <v>13</v>
      </c>
      <c r="K26" s="551"/>
      <c r="L26" s="121">
        <f>SUM(L17:L25)</f>
        <v>840</v>
      </c>
      <c r="M26" s="63">
        <f>SUM(P18:P20)</f>
        <v>95.999999999999972</v>
      </c>
      <c r="N26" s="133">
        <f>M26/L26</f>
        <v>0.11428571428571425</v>
      </c>
      <c r="Q26" s="133"/>
    </row>
    <row r="27" spans="2:17" ht="20.149999999999999" customHeight="1" x14ac:dyDescent="0.45">
      <c r="B27" s="10" t="s">
        <v>17</v>
      </c>
      <c r="C27" s="6"/>
      <c r="D27" s="6"/>
      <c r="E27" s="6"/>
      <c r="F27" s="6"/>
      <c r="G27" s="6"/>
      <c r="H27" s="6"/>
      <c r="I27" s="6"/>
      <c r="J27" s="39" t="s">
        <v>20</v>
      </c>
      <c r="K27" s="40"/>
      <c r="L27" s="41">
        <f>L26*K27</f>
        <v>0</v>
      </c>
    </row>
    <row r="28" spans="2:17" ht="20.149999999999999" customHeight="1" x14ac:dyDescent="0.45">
      <c r="B28" s="10" t="s">
        <v>18</v>
      </c>
      <c r="C28" s="6"/>
      <c r="D28" s="6"/>
      <c r="E28" s="6"/>
      <c r="F28" s="6"/>
      <c r="G28" s="6"/>
      <c r="H28" s="6"/>
      <c r="I28" s="6"/>
      <c r="J28" s="491" t="s">
        <v>19</v>
      </c>
      <c r="K28" s="492"/>
      <c r="L28" s="41">
        <f>L26-L27</f>
        <v>840</v>
      </c>
    </row>
    <row r="29" spans="2:17" ht="20.149999999999999" customHeight="1" x14ac:dyDescent="0.45">
      <c r="B29" s="10" t="s">
        <v>22</v>
      </c>
      <c r="C29" s="6"/>
      <c r="D29" s="6"/>
      <c r="E29" s="6"/>
      <c r="F29" s="6"/>
      <c r="G29" s="6"/>
      <c r="H29" s="6"/>
      <c r="I29" s="6"/>
      <c r="J29" s="102" t="s">
        <v>15</v>
      </c>
      <c r="K29" s="103">
        <f>'Sales Master'!$B$1</f>
        <v>0.09</v>
      </c>
      <c r="L29" s="42">
        <f>L28*K29</f>
        <v>75.599999999999994</v>
      </c>
    </row>
    <row r="30" spans="2:17" ht="20.149999999999999" customHeight="1" thickBot="1" x14ac:dyDescent="0.5">
      <c r="B30" s="10" t="s">
        <v>676</v>
      </c>
      <c r="C30" s="6"/>
      <c r="D30" s="6"/>
      <c r="E30" s="6"/>
      <c r="F30" s="6"/>
      <c r="G30" s="6"/>
      <c r="H30" s="6"/>
      <c r="I30" s="6"/>
      <c r="J30" s="485" t="s">
        <v>21</v>
      </c>
      <c r="K30" s="486"/>
      <c r="L30" s="43">
        <f>L28+L29</f>
        <v>915.6</v>
      </c>
      <c r="M30" s="63">
        <f>L30-669.6</f>
        <v>246</v>
      </c>
    </row>
    <row r="31" spans="2:17" ht="20.149999999999999" customHeight="1" x14ac:dyDescent="0.45">
      <c r="B31" s="10" t="s">
        <v>24</v>
      </c>
      <c r="C31" s="6"/>
      <c r="D31" s="6"/>
      <c r="E31" s="6"/>
      <c r="F31" s="6"/>
      <c r="G31" s="6"/>
      <c r="H31" s="6"/>
      <c r="I31" s="6"/>
      <c r="L31" s="37"/>
      <c r="N31" s="173">
        <v>44641</v>
      </c>
      <c r="O31" s="19">
        <v>196.3</v>
      </c>
      <c r="P31" s="19">
        <v>40.590000000000003</v>
      </c>
      <c r="Q31" s="133">
        <f>P31/O31</f>
        <v>0.20677534386143659</v>
      </c>
    </row>
    <row r="32" spans="2:17" ht="20.149999999999999" customHeight="1" x14ac:dyDescent="0.45">
      <c r="B32" s="144" t="s">
        <v>666</v>
      </c>
      <c r="L32" s="37"/>
    </row>
    <row r="33" spans="2:12" ht="20.149999999999999" customHeight="1" x14ac:dyDescent="0.45">
      <c r="B33" s="144"/>
      <c r="L33" s="37"/>
    </row>
    <row r="34" spans="2:12" ht="20.149999999999999" customHeight="1" x14ac:dyDescent="0.45">
      <c r="B34" s="144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44"/>
      <c r="C36" s="45"/>
      <c r="D36" s="45"/>
      <c r="J36" s="45"/>
      <c r="K36" s="45"/>
      <c r="L36" s="46"/>
    </row>
    <row r="37" spans="2:12" ht="20.149999999999999" customHeight="1" x14ac:dyDescent="0.45">
      <c r="B37" s="36" t="s">
        <v>25</v>
      </c>
      <c r="J37" s="19" t="s">
        <v>26</v>
      </c>
      <c r="L37" s="37"/>
    </row>
    <row r="38" spans="2:12" ht="19" thickBot="1" x14ac:dyDescent="0.5"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</row>
  </sheetData>
  <mergeCells count="34">
    <mergeCell ref="D24:F24"/>
    <mergeCell ref="I24:J24"/>
    <mergeCell ref="J26:K26"/>
    <mergeCell ref="J28:K28"/>
    <mergeCell ref="J30:K30"/>
    <mergeCell ref="D25:F25"/>
    <mergeCell ref="I25:J25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23622047244094499" bottom="0.23622047244094499" header="0.31496062992126" footer="0.31496062992126"/>
  <pageSetup paperSize="9" scale="70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D7F54-2E72-4E74-BA4F-A8D673008A18}">
  <sheetPr codeName="Sheet149">
    <tabColor rgb="FFFFC000"/>
    <pageSetUpPr fitToPage="1"/>
  </sheetPr>
  <dimension ref="B1:DA144"/>
  <sheetViews>
    <sheetView topLeftCell="A20" workbookViewId="0">
      <selection activeCell="C27" sqref="C27:K2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171</v>
      </c>
      <c r="J10" s="24" t="s">
        <v>27</v>
      </c>
      <c r="K10" s="464">
        <v>202501052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   Pte Ltd - Dim Sum                                                                          467 Bukit Batok West Ave 9 #01-10  Singapore 650467                                                  </v>
      </c>
      <c r="G11" s="470"/>
      <c r="H11" s="471"/>
      <c r="J11" s="26" t="s">
        <v>9</v>
      </c>
      <c r="K11" s="478">
        <v>45660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7" ht="20.149999999999999" customHeight="1" x14ac:dyDescent="0.45">
      <c r="B18" s="29"/>
      <c r="C18" s="212" t="s">
        <v>812</v>
      </c>
      <c r="D18" s="487" t="str">
        <f>VLOOKUP(C18,'Sales Master'!B$3:D$537,2,)</f>
        <v>Red Bean 红豆 (5.5 mm)</v>
      </c>
      <c r="E18" s="487"/>
      <c r="F18" s="487"/>
      <c r="G18" s="17">
        <v>1</v>
      </c>
      <c r="H18" s="186" t="str">
        <f>VLOOKUP(C18,'Sales Master'!$B$3:$F$2420,5,0)</f>
        <v>5 KG</v>
      </c>
      <c r="I18" s="484" t="str">
        <f>VLOOKUP(C18,'Sales Master'!$B$3:$E$2420,4,0)</f>
        <v>-</v>
      </c>
      <c r="J18" s="484"/>
      <c r="K18" s="30">
        <f>VLOOKUP(C18,'Sales Master'!B$3:BE$537,56,0)</f>
        <v>17.5</v>
      </c>
      <c r="L18" s="64">
        <f t="shared" ref="L18:L19" si="0">K18*G18</f>
        <v>17.5</v>
      </c>
    </row>
    <row r="19" spans="2:17" ht="20.149999999999999" customHeight="1" x14ac:dyDescent="0.45">
      <c r="B19" s="29"/>
      <c r="C19" s="212" t="s">
        <v>825</v>
      </c>
      <c r="D19" s="487" t="str">
        <f>VLOOKUP(C19,'Sales Master'!B$3:D$537,2,)</f>
        <v>Green Bean 绿豆</v>
      </c>
      <c r="E19" s="487"/>
      <c r="F19" s="487"/>
      <c r="G19" s="17">
        <v>1</v>
      </c>
      <c r="H19" s="186" t="str">
        <f>VLOOKUP(C19,'Sales Master'!$B$3:$F$2420,5,0)</f>
        <v>5 KG</v>
      </c>
      <c r="I19" s="484" t="str">
        <f>VLOOKUP(C19,'Sales Master'!$B$3:$E$2420,4,0)</f>
        <v>-</v>
      </c>
      <c r="J19" s="484"/>
      <c r="K19" s="30">
        <f>VLOOKUP(C19,'Sales Master'!B$3:BE$537,56,0)</f>
        <v>13</v>
      </c>
      <c r="L19" s="64">
        <f t="shared" si="0"/>
        <v>13</v>
      </c>
    </row>
    <row r="20" spans="2:17" ht="20.149999999999999" customHeight="1" x14ac:dyDescent="0.45">
      <c r="B20" s="29"/>
      <c r="C20" s="212" t="s">
        <v>853</v>
      </c>
      <c r="D20" s="487" t="str">
        <f>VLOOKUP(C20,'Sales Master'!B$3:D$537,2,)</f>
        <v>Small Sago 小丸</v>
      </c>
      <c r="E20" s="487"/>
      <c r="F20" s="487"/>
      <c r="G20" s="17">
        <v>1</v>
      </c>
      <c r="H20" s="186" t="str">
        <f>VLOOKUP(C20,'Sales Master'!$B$3:$F$2420,5,0)</f>
        <v>5 KG</v>
      </c>
      <c r="I20" s="484" t="str">
        <f>VLOOKUP(C20,'Sales Master'!$B$3:$E$2420,4,0)</f>
        <v>-</v>
      </c>
      <c r="J20" s="484"/>
      <c r="K20" s="30">
        <f>VLOOKUP(C20,'Sales Master'!B$3:BE$537,56,0)</f>
        <v>10</v>
      </c>
      <c r="L20" s="64">
        <f>K20*G20</f>
        <v>10</v>
      </c>
      <c r="N20" s="145"/>
      <c r="O20" s="145"/>
      <c r="P20" s="145"/>
      <c r="Q20" s="170"/>
    </row>
    <row r="21" spans="2:17" ht="20.149999999999999" customHeight="1" x14ac:dyDescent="0.45">
      <c r="B21" s="29"/>
      <c r="C21" s="212" t="s">
        <v>937</v>
      </c>
      <c r="D21" s="487" t="str">
        <f>VLOOKUP(C21,'Sales Master'!B$3:D$537,2,)</f>
        <v>Lychee in Syrup 荔枝</v>
      </c>
      <c r="E21" s="487"/>
      <c r="F21" s="487"/>
      <c r="G21" s="17">
        <v>2</v>
      </c>
      <c r="H21" s="186" t="str">
        <f>VLOOKUP(C21,'Sales Master'!$B$3:$F$2420,5,0)</f>
        <v>12 CAN/CARTON</v>
      </c>
      <c r="I21" s="484" t="str">
        <f>VLOOKUP(C21,'Sales Master'!$B$3:$E$2420,4,0)</f>
        <v>Statue</v>
      </c>
      <c r="J21" s="484"/>
      <c r="K21" s="30">
        <f>VLOOKUP(C21,'Sales Master'!B$3:BE$537,56,0)</f>
        <v>22</v>
      </c>
      <c r="L21" s="64">
        <f>K21*G21</f>
        <v>44</v>
      </c>
    </row>
    <row r="22" spans="2:17" ht="20.149999999999999" customHeight="1" x14ac:dyDescent="0.45">
      <c r="B22" s="29"/>
      <c r="C22" s="212" t="s">
        <v>966</v>
      </c>
      <c r="D22" s="487" t="str">
        <f>VLOOKUP(C22,'Sales Master'!B$3:D$537,2,)</f>
        <v>Coconut Milk 椰浆</v>
      </c>
      <c r="E22" s="487"/>
      <c r="F22" s="487"/>
      <c r="G22" s="17">
        <v>5</v>
      </c>
      <c r="H22" s="186" t="str">
        <f>VLOOKUP(C22,'Sales Master'!$B$3:$F$2420,5,0)</f>
        <v>(1L x 12bag)/箱</v>
      </c>
      <c r="I22" s="484" t="str">
        <f>VLOOKUP(C22,'Sales Master'!$B$3:$E$2420,4,0)</f>
        <v>Kara UHT</v>
      </c>
      <c r="J22" s="484"/>
      <c r="K22" s="30">
        <f>VLOOKUP(C22,'Sales Master'!B$3:BE$537,56,0)</f>
        <v>54</v>
      </c>
      <c r="L22" s="64">
        <f t="shared" ref="L22" si="1">K22*G22</f>
        <v>270</v>
      </c>
    </row>
    <row r="23" spans="2:17" ht="20.149999999999999" customHeight="1" x14ac:dyDescent="0.45">
      <c r="B23" s="29"/>
      <c r="C23" s="212" t="s">
        <v>987</v>
      </c>
      <c r="D23" s="487" t="str">
        <f>VLOOKUP(C23,'Sales Master'!B$3:D$537,2,)</f>
        <v>Brown Sugar 黑糖</v>
      </c>
      <c r="E23" s="487"/>
      <c r="F23" s="487"/>
      <c r="G23" s="17">
        <v>1</v>
      </c>
      <c r="H23" s="186" t="str">
        <f>VLOOKUP(C23,'Sales Master'!$B$3:$F$2420,5,0)</f>
        <v>6 KG</v>
      </c>
      <c r="I23" s="484" t="str">
        <f>VLOOKUP(C23,'Sales Master'!$B$3:$E$2420,4,0)</f>
        <v>Star</v>
      </c>
      <c r="J23" s="484"/>
      <c r="K23" s="30">
        <f>VLOOKUP(C23,'Sales Master'!B$3:BE$537,56,0)</f>
        <v>15</v>
      </c>
      <c r="L23" s="64">
        <f t="shared" ref="L23" si="2">K23*G23</f>
        <v>15</v>
      </c>
      <c r="N23" s="145"/>
      <c r="O23" s="145"/>
      <c r="P23" s="145"/>
      <c r="Q23" s="170"/>
    </row>
    <row r="24" spans="2:17" ht="20.149999999999999" customHeight="1" x14ac:dyDescent="0.45">
      <c r="B24" s="29"/>
      <c r="C24" s="212"/>
      <c r="G24" s="17"/>
      <c r="H24" s="186"/>
      <c r="I24" s="208"/>
      <c r="J24" s="208"/>
      <c r="K24" s="30"/>
      <c r="L24" s="64"/>
      <c r="N24" s="145"/>
      <c r="O24" s="145"/>
      <c r="P24" s="145"/>
      <c r="Q24" s="170"/>
    </row>
    <row r="25" spans="2:17" ht="20.149999999999999" customHeight="1" x14ac:dyDescent="0.45">
      <c r="B25" s="29"/>
      <c r="C25" s="212"/>
      <c r="G25" s="17"/>
      <c r="H25" s="186"/>
      <c r="I25" s="208"/>
      <c r="J25" s="208"/>
      <c r="K25" s="30"/>
      <c r="L25" s="64"/>
      <c r="N25" s="145"/>
      <c r="O25" s="145"/>
      <c r="P25" s="145"/>
      <c r="Q25" s="170"/>
    </row>
    <row r="26" spans="2:17" ht="20.149999999999999" customHeight="1" x14ac:dyDescent="0.45">
      <c r="B26" s="29"/>
      <c r="C26" s="212"/>
      <c r="D26" s="487"/>
      <c r="E26" s="487"/>
      <c r="F26" s="487"/>
      <c r="G26" s="17"/>
      <c r="H26" s="186"/>
      <c r="I26" s="484"/>
      <c r="J26" s="484"/>
      <c r="K26" s="30"/>
      <c r="L26" s="64"/>
      <c r="N26" s="145"/>
      <c r="O26" s="145"/>
      <c r="P26" s="145"/>
      <c r="Q26" s="170"/>
    </row>
    <row r="27" spans="2:17" ht="20.149999999999999" customHeight="1" x14ac:dyDescent="0.45">
      <c r="B27" s="29"/>
      <c r="C27" s="149" t="s">
        <v>2271</v>
      </c>
      <c r="D27" s="403"/>
      <c r="E27" s="403"/>
      <c r="F27" s="403"/>
      <c r="G27" s="76"/>
      <c r="H27" s="186"/>
      <c r="I27" s="484"/>
      <c r="J27" s="484"/>
      <c r="K27" s="190"/>
      <c r="L27" s="64"/>
      <c r="N27" s="145"/>
      <c r="O27" s="145"/>
      <c r="P27" s="145"/>
      <c r="Q27" s="170"/>
    </row>
    <row r="28" spans="2:17" ht="20.149999999999999" customHeight="1" x14ac:dyDescent="0.45">
      <c r="B28" s="29"/>
      <c r="C28" s="212" t="s">
        <v>966</v>
      </c>
      <c r="D28" s="493" t="e">
        <f>VLOOKUP(C28,#REF!,2,0)</f>
        <v>#REF!</v>
      </c>
      <c r="E28" s="493"/>
      <c r="F28" s="493"/>
      <c r="G28" s="17">
        <v>1</v>
      </c>
      <c r="H28" s="186" t="e">
        <f>VLOOKUP(C28,#REF!,5,0)</f>
        <v>#REF!</v>
      </c>
      <c r="I28" s="484" t="e">
        <f>VLOOKUP(C28,#REF!,4,0)</f>
        <v>#REF!</v>
      </c>
      <c r="J28" s="484"/>
      <c r="K28" s="190">
        <v>48</v>
      </c>
      <c r="L28" s="64"/>
      <c r="N28" s="145"/>
      <c r="O28" s="145"/>
      <c r="P28" s="145"/>
      <c r="Q28" s="170"/>
    </row>
    <row r="29" spans="2:17" ht="20.149999999999999" customHeight="1" x14ac:dyDescent="0.45">
      <c r="B29" s="29"/>
      <c r="C29" s="17"/>
      <c r="D29" s="524"/>
      <c r="E29" s="524"/>
      <c r="F29" s="524"/>
      <c r="G29" s="17"/>
      <c r="H29" s="186"/>
      <c r="I29" s="484"/>
      <c r="J29" s="484"/>
      <c r="K29" s="30"/>
      <c r="L29" s="64"/>
      <c r="N29" s="145"/>
      <c r="O29" s="145"/>
      <c r="P29" s="145"/>
      <c r="Q29" s="170"/>
    </row>
    <row r="30" spans="2:17" ht="20.149999999999999" customHeight="1" x14ac:dyDescent="0.45">
      <c r="B30" s="29"/>
      <c r="C30" s="17"/>
      <c r="D30" s="524"/>
      <c r="E30" s="524"/>
      <c r="F30" s="524"/>
      <c r="G30" s="17"/>
      <c r="H30" s="186"/>
      <c r="I30" s="484"/>
      <c r="J30" s="484"/>
      <c r="K30" s="30"/>
      <c r="L30" s="64"/>
      <c r="N30" s="145"/>
      <c r="O30" s="145"/>
      <c r="P30" s="145"/>
      <c r="Q30" s="170"/>
    </row>
    <row r="31" spans="2:17" ht="20.149999999999999" customHeight="1" thickBot="1" x14ac:dyDescent="0.5">
      <c r="B31" s="32"/>
      <c r="C31" s="33"/>
      <c r="D31" s="488"/>
      <c r="E31" s="488"/>
      <c r="F31" s="488"/>
      <c r="G31" s="33"/>
      <c r="H31" s="33"/>
      <c r="I31" s="33"/>
      <c r="J31" s="33"/>
      <c r="K31" s="34"/>
      <c r="L31" s="35"/>
    </row>
    <row r="32" spans="2:17" ht="20.149999999999999" customHeight="1" thickBot="1" x14ac:dyDescent="0.5">
      <c r="B32" s="36"/>
      <c r="L32" s="37"/>
    </row>
    <row r="33" spans="2:12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89" t="s">
        <v>13</v>
      </c>
      <c r="K33" s="490"/>
      <c r="L33" s="38">
        <f>SUM(L16:L31)</f>
        <v>369.5</v>
      </c>
    </row>
    <row r="34" spans="2:12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2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91" t="s">
        <v>19</v>
      </c>
      <c r="K35" s="492"/>
      <c r="L35" s="41">
        <f>L33-L34</f>
        <v>369.5</v>
      </c>
    </row>
    <row r="36" spans="2:12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33.254999999999995</v>
      </c>
    </row>
    <row r="37" spans="2:12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85" t="s">
        <v>21</v>
      </c>
      <c r="K37" s="486"/>
      <c r="L37" s="43">
        <f>L35+L36</f>
        <v>402.755</v>
      </c>
    </row>
    <row r="38" spans="2:12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36"/>
      <c r="L42" s="37"/>
    </row>
    <row r="43" spans="2:12" ht="20.149999999999999" customHeight="1" x14ac:dyDescent="0.45">
      <c r="B43" s="44"/>
      <c r="C43" s="45"/>
      <c r="D43" s="45"/>
      <c r="J43" s="45"/>
      <c r="K43" s="45"/>
      <c r="L43" s="46"/>
    </row>
    <row r="44" spans="2:12" ht="20.149999999999999" customHeight="1" x14ac:dyDescent="0.45">
      <c r="B44" s="36" t="s">
        <v>25</v>
      </c>
      <c r="J44" s="19" t="s">
        <v>26</v>
      </c>
      <c r="L44" s="37"/>
    </row>
    <row r="45" spans="2:12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  <row r="144" spans="105:105" x14ac:dyDescent="0.45">
      <c r="DA144" s="19">
        <f>H144</f>
        <v>0</v>
      </c>
    </row>
  </sheetData>
  <mergeCells count="40">
    <mergeCell ref="J37:K37"/>
    <mergeCell ref="I27:J27"/>
    <mergeCell ref="D28:F28"/>
    <mergeCell ref="I28:J28"/>
    <mergeCell ref="D29:F29"/>
    <mergeCell ref="I29:J29"/>
    <mergeCell ref="D30:F30"/>
    <mergeCell ref="I30:J30"/>
    <mergeCell ref="D31:F31"/>
    <mergeCell ref="J33:K33"/>
    <mergeCell ref="J35:K35"/>
    <mergeCell ref="D26:F26"/>
    <mergeCell ref="I26:J26"/>
    <mergeCell ref="D19:F19"/>
    <mergeCell ref="D22:F22"/>
    <mergeCell ref="I22:J22"/>
    <mergeCell ref="I17:J17"/>
    <mergeCell ref="D20:F20"/>
    <mergeCell ref="I20:J20"/>
    <mergeCell ref="D23:F23"/>
    <mergeCell ref="I23:J23"/>
    <mergeCell ref="D18:F18"/>
    <mergeCell ref="I18:J18"/>
    <mergeCell ref="D17:F17"/>
    <mergeCell ref="D21:F21"/>
    <mergeCell ref="I21:J21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7">
    <cfRule type="duplicateValues" dxfId="218" priority="1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65AE9-31E8-45E8-BC08-F7300C626219}">
  <sheetPr codeName="Sheet70">
    <tabColor theme="7"/>
    <pageSetUpPr fitToPage="1"/>
  </sheetPr>
  <dimension ref="B1:P1048562"/>
  <sheetViews>
    <sheetView topLeftCell="A29" zoomScaleNormal="100" workbookViewId="0">
      <selection activeCell="M33" sqref="M3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179687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1" width="12.54296875" style="19" customWidth="1"/>
    <col min="12" max="12" width="13.453125" style="19" bestFit="1" customWidth="1"/>
    <col min="13" max="16384" width="12.54296875" style="19"/>
  </cols>
  <sheetData>
    <row r="1" spans="2:16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6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6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6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6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6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6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6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172</v>
      </c>
      <c r="J10" s="24" t="s">
        <v>27</v>
      </c>
      <c r="K10" s="464">
        <v>202504293</v>
      </c>
      <c r="L10" s="465"/>
    </row>
    <row r="11" spans="2:16" ht="20.149999999999999" customHeight="1" x14ac:dyDescent="0.45">
      <c r="B11" s="466" t="s">
        <v>132</v>
      </c>
      <c r="C11" s="467"/>
      <c r="D11" s="468"/>
      <c r="E11" s="25"/>
      <c r="F11" s="469" t="str">
        <f>VLOOKUP(H10,'Delivery Location'!A$4:N$466,2,0)</f>
        <v xml:space="preserve">Zhu Fang Ruo                                                11 Canberra Road #01-05. Singapore 759775.              </v>
      </c>
      <c r="G11" s="470"/>
      <c r="H11" s="471"/>
      <c r="J11" s="26" t="s">
        <v>9</v>
      </c>
      <c r="K11" s="504">
        <v>45758</v>
      </c>
      <c r="L11" s="505"/>
      <c r="N11" s="532" t="s">
        <v>1075</v>
      </c>
      <c r="O11" s="532"/>
      <c r="P11" s="532"/>
    </row>
    <row r="12" spans="2:16" ht="20.149999999999999" customHeight="1" x14ac:dyDescent="0.45">
      <c r="B12" s="480" t="s">
        <v>588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6" ht="20.149999999999999" customHeight="1" x14ac:dyDescent="0.45">
      <c r="B13" s="480" t="s">
        <v>589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6" ht="20.149999999999999" customHeight="1" x14ac:dyDescent="0.45">
      <c r="B14" s="480" t="s">
        <v>354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6" ht="18" customHeight="1" thickBot="1" x14ac:dyDescent="0.5">
      <c r="B15" s="50"/>
      <c r="C15" s="51"/>
      <c r="D15" s="52"/>
      <c r="E15" s="21"/>
      <c r="F15" s="475"/>
      <c r="G15" s="476"/>
      <c r="H15" s="477"/>
      <c r="J15" s="27" t="s">
        <v>11</v>
      </c>
      <c r="K15" s="119" t="s">
        <v>522</v>
      </c>
      <c r="L15" s="118"/>
    </row>
    <row r="16" spans="2:16" ht="19" thickBot="1" x14ac:dyDescent="0.5">
      <c r="J16" s="17"/>
      <c r="K16" s="19" t="s">
        <v>439</v>
      </c>
    </row>
    <row r="17" spans="2:16" ht="30" customHeight="1" thickBot="1" x14ac:dyDescent="0.5">
      <c r="B17" s="109" t="s">
        <v>2</v>
      </c>
      <c r="C17" s="110" t="s">
        <v>3</v>
      </c>
      <c r="D17" s="531" t="s">
        <v>4</v>
      </c>
      <c r="E17" s="531"/>
      <c r="F17" s="531"/>
      <c r="G17" s="112" t="s">
        <v>384</v>
      </c>
      <c r="H17" s="110" t="s">
        <v>29</v>
      </c>
      <c r="I17" s="531" t="s">
        <v>53</v>
      </c>
      <c r="J17" s="531"/>
      <c r="K17" s="110" t="s">
        <v>5</v>
      </c>
      <c r="L17" s="111" t="s">
        <v>6</v>
      </c>
      <c r="M17" s="28"/>
    </row>
    <row r="18" spans="2:16" ht="20" customHeight="1" x14ac:dyDescent="0.45">
      <c r="B18" s="258"/>
      <c r="C18" s="212" t="s">
        <v>697</v>
      </c>
      <c r="D18" s="446" t="str">
        <f>VLOOKUP(C18,'Sales Master'!B$3:D$537,2,)</f>
        <v xml:space="preserve">Fresh Soursop 红毛榴莲 </v>
      </c>
      <c r="E18" s="446"/>
      <c r="F18" s="446"/>
      <c r="G18" s="76">
        <v>1</v>
      </c>
      <c r="H18" s="183" t="str">
        <f>VLOOKUP(C18,'Sales Master'!$B$3:$F$2420,5,0)</f>
        <v>GW:5 KG/ Pkt包</v>
      </c>
      <c r="I18" s="513" t="str">
        <f>VLOOKUP(C18,'Sales Master'!$B$3:$E$2420,4,0)</f>
        <v>DO!</v>
      </c>
      <c r="J18" s="513"/>
      <c r="K18" s="83">
        <f>VLOOKUP(C18,'Sales Master'!$B$3:$O$2489,14,0)</f>
        <v>34</v>
      </c>
      <c r="L18" s="84">
        <f t="shared" ref="L18" si="0">K18*G18</f>
        <v>34</v>
      </c>
      <c r="M18" s="65"/>
    </row>
    <row r="19" spans="2:16" ht="20" customHeight="1" x14ac:dyDescent="0.45">
      <c r="B19" s="258"/>
      <c r="C19" s="212" t="s">
        <v>702</v>
      </c>
      <c r="D19" s="446" t="str">
        <f>VLOOKUP(C19,'Sales Master'!B$3:D$537,2,)</f>
        <v>Durian Puree 榴莲酱</v>
      </c>
      <c r="E19" s="446"/>
      <c r="F19" s="446"/>
      <c r="G19" s="76">
        <v>1</v>
      </c>
      <c r="H19" s="183" t="str">
        <f>VLOOKUP(C19,'Sales Master'!$B$3:$F$2420,5,0)</f>
        <v>1 KG/ Box盒</v>
      </c>
      <c r="I19" s="513" t="str">
        <f>VLOOKUP(C19,'Sales Master'!$B$3:$E$2420,4,0)</f>
        <v>DO!</v>
      </c>
      <c r="J19" s="513"/>
      <c r="K19" s="83">
        <f>VLOOKUP(C19,'Sales Master'!$B$3:$O$2489,14,0)</f>
        <v>10</v>
      </c>
      <c r="L19" s="84">
        <f t="shared" ref="L19:L24" si="1">K19*G19</f>
        <v>10</v>
      </c>
      <c r="M19" s="65"/>
      <c r="N19" s="145"/>
      <c r="O19" s="145"/>
      <c r="P19" s="145"/>
    </row>
    <row r="20" spans="2:16" ht="20" customHeight="1" x14ac:dyDescent="0.45">
      <c r="B20" s="258"/>
      <c r="C20" s="212" t="s">
        <v>703</v>
      </c>
      <c r="D20" s="446" t="str">
        <f>VLOOKUP(C20,'Sales Master'!B$3:D$537,2,)</f>
        <v>Mango Puree 芒果酱</v>
      </c>
      <c r="E20" s="446"/>
      <c r="F20" s="446"/>
      <c r="G20" s="76">
        <v>1</v>
      </c>
      <c r="H20" s="183" t="str">
        <f>VLOOKUP(C20,'Sales Master'!$B$3:$F$2420,5,0)</f>
        <v>1 KG/ Box盒</v>
      </c>
      <c r="I20" s="513" t="str">
        <f>VLOOKUP(C20,'Sales Master'!$B$3:$E$2420,4,0)</f>
        <v>DO!</v>
      </c>
      <c r="J20" s="513"/>
      <c r="K20" s="83">
        <f>VLOOKUP(C20,'Sales Master'!$B$3:$O$2489,14,0)</f>
        <v>9</v>
      </c>
      <c r="L20" s="84">
        <f t="shared" si="1"/>
        <v>9</v>
      </c>
      <c r="M20" s="65"/>
      <c r="N20" s="145"/>
      <c r="O20" s="145"/>
      <c r="P20" s="145"/>
    </row>
    <row r="21" spans="2:16" ht="20" customHeight="1" x14ac:dyDescent="0.45">
      <c r="B21" s="258"/>
      <c r="C21" s="212" t="s">
        <v>779</v>
      </c>
      <c r="D21" s="554" t="str">
        <f>VLOOKUP(C21,'Sales Master'!B$3:D$537,2,)</f>
        <v>Sweet Potato Powder 番薯粉</v>
      </c>
      <c r="E21" s="554"/>
      <c r="F21" s="554"/>
      <c r="G21" s="76">
        <v>1</v>
      </c>
      <c r="H21" s="183" t="str">
        <f>VLOOKUP(C21,'Sales Master'!$B$3:$F$2420,5,0)</f>
        <v>(500gm x 20Pkt)箱</v>
      </c>
      <c r="I21" s="513" t="str">
        <f>VLOOKUP(C21,'Sales Master'!$B$3:$E$2420,4,0)</f>
        <v>F/man 飞人</v>
      </c>
      <c r="J21" s="513"/>
      <c r="K21" s="83">
        <f>VLOOKUP(C21,'Sales Master'!$B$3:$O$2489,14,0)</f>
        <v>40</v>
      </c>
      <c r="L21" s="84">
        <f t="shared" si="1"/>
        <v>40</v>
      </c>
      <c r="M21" s="65"/>
      <c r="N21" s="145"/>
      <c r="O21" s="145"/>
      <c r="P21" s="145"/>
    </row>
    <row r="22" spans="2:16" ht="20" customHeight="1" x14ac:dyDescent="0.45">
      <c r="B22" s="258"/>
      <c r="C22" s="212" t="s">
        <v>786</v>
      </c>
      <c r="D22" s="446" t="str">
        <f>VLOOKUP(C22,'Sales Master'!B$3:D$537,2,)</f>
        <v>Tapioca Flour 茨粉</v>
      </c>
      <c r="E22" s="446"/>
      <c r="F22" s="446"/>
      <c r="G22" s="76">
        <v>2</v>
      </c>
      <c r="H22" s="183" t="str">
        <f>VLOOKUP(C22,'Sales Master'!$B$3:$F$2420,5,0)</f>
        <v xml:space="preserve">500 GM/pkt </v>
      </c>
      <c r="I22" s="513" t="str">
        <f>VLOOKUP(C22,'Sales Master'!$B$3:$E$2420,4,0)</f>
        <v>F/man 飞人</v>
      </c>
      <c r="J22" s="513"/>
      <c r="K22" s="83">
        <f>VLOOKUP(C22,'Sales Master'!$B$3:$O$2489,14,0)</f>
        <v>0.9</v>
      </c>
      <c r="L22" s="84">
        <f t="shared" si="1"/>
        <v>1.8</v>
      </c>
      <c r="M22" s="65"/>
      <c r="N22" s="145"/>
      <c r="O22" s="145"/>
      <c r="P22" s="145"/>
    </row>
    <row r="23" spans="2:16" ht="20" customHeight="1" x14ac:dyDescent="0.45">
      <c r="B23" s="258"/>
      <c r="C23" s="212" t="s">
        <v>804</v>
      </c>
      <c r="D23" s="446" t="str">
        <f>VLOOKUP(C23,'Sales Master'!B$3:D$537,2,)</f>
        <v>Atap Seeds in Syrup 亚嗒子</v>
      </c>
      <c r="E23" s="446"/>
      <c r="F23" s="446"/>
      <c r="G23" s="76">
        <v>2</v>
      </c>
      <c r="H23" s="183" t="str">
        <f>VLOOKUP(C23,'Sales Master'!$B$3:$F$2420,5,0)</f>
        <v>NW(2.1:0.9) 3kg/ Bag包</v>
      </c>
      <c r="I23" s="513" t="str">
        <f>VLOOKUP(C23,'Sales Master'!$B$3:$E$2420,4,0)</f>
        <v>DO!</v>
      </c>
      <c r="J23" s="513"/>
      <c r="K23" s="83">
        <f>VLOOKUP(C23,'Sales Master'!$B$3:$O$2489,14,0)</f>
        <v>13.5</v>
      </c>
      <c r="L23" s="84">
        <f t="shared" si="1"/>
        <v>27</v>
      </c>
      <c r="M23" s="65"/>
      <c r="N23" s="145"/>
      <c r="O23" s="145"/>
      <c r="P23" s="145"/>
    </row>
    <row r="24" spans="2:16" ht="20" customHeight="1" x14ac:dyDescent="0.45">
      <c r="B24" s="258"/>
      <c r="C24" s="212" t="s">
        <v>831</v>
      </c>
      <c r="D24" s="446" t="str">
        <f>VLOOKUP(C24,'Sales Master'!B$3:D$537,2,)</f>
        <v>Split Green Mung Bean 豆爽</v>
      </c>
      <c r="E24" s="446"/>
      <c r="F24" s="446"/>
      <c r="G24" s="76">
        <v>1</v>
      </c>
      <c r="H24" s="183" t="str">
        <f>VLOOKUP(C24,'Sales Master'!$B$3:$F$2420,5,0)</f>
        <v>5 KG</v>
      </c>
      <c r="I24" s="513" t="str">
        <f>VLOOKUP(C24,'Sales Master'!$B$3:$E$2420,4,0)</f>
        <v>-</v>
      </c>
      <c r="J24" s="513"/>
      <c r="K24" s="83">
        <f>VLOOKUP(C24,'Sales Master'!$B$3:$O$2489,14,0)</f>
        <v>18</v>
      </c>
      <c r="L24" s="84">
        <f t="shared" si="1"/>
        <v>18</v>
      </c>
      <c r="M24" s="65"/>
      <c r="N24" s="145"/>
      <c r="O24" s="145"/>
      <c r="P24" s="145"/>
    </row>
    <row r="25" spans="2:16" ht="20" customHeight="1" x14ac:dyDescent="0.45">
      <c r="B25" s="258"/>
      <c r="C25" s="212" t="s">
        <v>837</v>
      </c>
      <c r="D25" s="446" t="str">
        <f>VLOOKUP(C25,'Sales Master'!B$3:D$537,2,)</f>
        <v>Black Glutinous Rice 黑糯米</v>
      </c>
      <c r="E25" s="446"/>
      <c r="F25" s="446"/>
      <c r="G25" s="76">
        <v>2</v>
      </c>
      <c r="H25" s="183" t="str">
        <f>VLOOKUP(C25,'Sales Master'!$B$3:$F$2420,5,0)</f>
        <v>5 KGS</v>
      </c>
      <c r="I25" s="513" t="str">
        <f>VLOOKUP(C25,'Sales Master'!$B$3:$E$2420,4,0)</f>
        <v>-</v>
      </c>
      <c r="J25" s="513"/>
      <c r="K25" s="83">
        <f>VLOOKUP(C25,'Sales Master'!$B$3:$O$2489,14,0)</f>
        <v>18</v>
      </c>
      <c r="L25" s="84">
        <f t="shared" ref="L25:L27" si="2">K25*G25</f>
        <v>36</v>
      </c>
      <c r="M25" s="65"/>
      <c r="N25" s="145"/>
      <c r="O25" s="145"/>
      <c r="P25" s="145"/>
    </row>
    <row r="26" spans="2:16" ht="20" customHeight="1" x14ac:dyDescent="0.45">
      <c r="B26" s="258"/>
      <c r="C26" s="212" t="s">
        <v>844</v>
      </c>
      <c r="D26" s="446" t="str">
        <f>VLOOKUP(C26,'Sales Master'!B$3:D$537,2,)</f>
        <v>White Wheat 大麦</v>
      </c>
      <c r="E26" s="446"/>
      <c r="F26" s="446"/>
      <c r="G26" s="76">
        <v>2</v>
      </c>
      <c r="H26" s="183" t="str">
        <f>VLOOKUP(C26,'Sales Master'!$B$3:$F$2420,5,0)</f>
        <v>10 PKT/ Bag</v>
      </c>
      <c r="I26" s="513" t="str">
        <f>VLOOKUP(C26,'Sales Master'!$B$3:$E$2420,4,0)</f>
        <v>-</v>
      </c>
      <c r="J26" s="513"/>
      <c r="K26" s="83">
        <f>VLOOKUP(C26,'Sales Master'!$B$3:$O$2489,14,0)</f>
        <v>11</v>
      </c>
      <c r="L26" s="84">
        <f>K26*G26</f>
        <v>22</v>
      </c>
      <c r="M26" s="65"/>
      <c r="N26" s="145"/>
      <c r="O26" s="145"/>
      <c r="P26" s="145"/>
    </row>
    <row r="27" spans="2:16" ht="20" customHeight="1" x14ac:dyDescent="0.45">
      <c r="B27" s="258"/>
      <c r="C27" s="212" t="s">
        <v>846</v>
      </c>
      <c r="D27" s="446" t="str">
        <f>VLOOKUP(C27,'Sales Master'!B$3:D$537,2,)</f>
        <v>Pearl Barley 薏米</v>
      </c>
      <c r="E27" s="446"/>
      <c r="F27" s="446"/>
      <c r="G27" s="76">
        <v>2</v>
      </c>
      <c r="H27" s="183" t="str">
        <f>VLOOKUP(C27,'Sales Master'!$B$3:$F$2420,5,0)</f>
        <v>5 KG</v>
      </c>
      <c r="I27" s="513" t="str">
        <f>VLOOKUP(C27,'Sales Master'!$B$3:$E$2420,4,0)</f>
        <v>-</v>
      </c>
      <c r="J27" s="513"/>
      <c r="K27" s="83">
        <f>VLOOKUP(C27,'Sales Master'!$B$3:$O$2489,14,0)</f>
        <v>10</v>
      </c>
      <c r="L27" s="84">
        <f t="shared" si="2"/>
        <v>20</v>
      </c>
      <c r="M27" s="65"/>
      <c r="N27" s="145"/>
      <c r="O27" s="145"/>
      <c r="P27" s="145"/>
    </row>
    <row r="28" spans="2:16" ht="20" customHeight="1" x14ac:dyDescent="0.45">
      <c r="B28" s="258"/>
      <c r="C28" s="212" t="s">
        <v>853</v>
      </c>
      <c r="D28" s="446" t="str">
        <f>VLOOKUP(C28,'Sales Master'!B$3:D$537,2,)</f>
        <v>Small Sago 小丸</v>
      </c>
      <c r="E28" s="446"/>
      <c r="F28" s="446"/>
      <c r="G28" s="76">
        <v>1</v>
      </c>
      <c r="H28" s="183" t="str">
        <f>VLOOKUP(C28,'Sales Master'!$B$3:$F$2420,5,0)</f>
        <v>5 KG</v>
      </c>
      <c r="I28" s="513" t="str">
        <f>VLOOKUP(C28,'Sales Master'!$B$3:$E$2420,4,0)</f>
        <v>-</v>
      </c>
      <c r="J28" s="513"/>
      <c r="K28" s="83">
        <f>VLOOKUP(C28,'Sales Master'!$B$3:$O$2489,14,0)</f>
        <v>10.5</v>
      </c>
      <c r="L28" s="84">
        <f t="shared" ref="L28:L29" si="3">K28*G28</f>
        <v>10.5</v>
      </c>
      <c r="M28" s="65"/>
      <c r="N28" s="145"/>
      <c r="O28" s="145"/>
      <c r="P28" s="145"/>
    </row>
    <row r="29" spans="2:16" ht="20" customHeight="1" x14ac:dyDescent="0.45">
      <c r="B29" s="258"/>
      <c r="C29" s="212" t="s">
        <v>963</v>
      </c>
      <c r="D29" s="446" t="str">
        <f>VLOOKUP(C29,'Sales Master'!B$3:D$537,2,)</f>
        <v>Water Chestnut 马蹄罐</v>
      </c>
      <c r="E29" s="446"/>
      <c r="F29" s="446"/>
      <c r="G29" s="76">
        <v>1</v>
      </c>
      <c r="H29" s="183" t="str">
        <f>VLOOKUP(C29,'Sales Master'!$B$3:$F$2420,5,0)</f>
        <v>(567gm x 24)/箱</v>
      </c>
      <c r="I29" s="513" t="str">
        <f>VLOOKUP(C29,'Sales Master'!$B$3:$E$2420,4,0)</f>
        <v>MiLi</v>
      </c>
      <c r="J29" s="513"/>
      <c r="K29" s="83">
        <f>VLOOKUP(C29,'Sales Master'!$B$3:$O$2489,14,0)</f>
        <v>38</v>
      </c>
      <c r="L29" s="84">
        <f t="shared" si="3"/>
        <v>38</v>
      </c>
      <c r="M29" s="65"/>
      <c r="N29" s="145"/>
      <c r="O29" s="145"/>
      <c r="P29" s="145"/>
    </row>
    <row r="30" spans="2:16" ht="20" customHeight="1" x14ac:dyDescent="0.45">
      <c r="B30" s="258"/>
      <c r="C30" s="212"/>
      <c r="D30" s="65"/>
      <c r="E30" s="65"/>
      <c r="F30" s="65"/>
      <c r="G30" s="76"/>
      <c r="H30" s="183"/>
      <c r="I30" s="209"/>
      <c r="J30" s="209"/>
      <c r="K30" s="83"/>
      <c r="L30" s="84"/>
      <c r="M30" s="65"/>
      <c r="N30" s="145"/>
      <c r="O30" s="145"/>
      <c r="P30" s="145"/>
    </row>
    <row r="31" spans="2:16" ht="20" customHeight="1" x14ac:dyDescent="0.45">
      <c r="B31" s="258"/>
      <c r="C31" s="212"/>
      <c r="D31" s="446"/>
      <c r="E31" s="446"/>
      <c r="F31" s="446"/>
      <c r="G31" s="76"/>
      <c r="H31" s="183"/>
      <c r="I31" s="513"/>
      <c r="J31" s="513"/>
      <c r="K31" s="83"/>
      <c r="L31" s="84"/>
      <c r="M31" s="65"/>
      <c r="N31" s="145"/>
      <c r="O31" s="145"/>
      <c r="P31" s="145"/>
    </row>
    <row r="32" spans="2:16" ht="20" customHeight="1" x14ac:dyDescent="0.45">
      <c r="B32" s="258"/>
      <c r="C32" s="149" t="s">
        <v>2294</v>
      </c>
      <c r="D32" s="403"/>
      <c r="E32" s="403"/>
      <c r="F32" s="403"/>
      <c r="G32" s="76"/>
      <c r="H32" s="186"/>
      <c r="I32" s="484"/>
      <c r="J32" s="484"/>
      <c r="K32" s="190"/>
      <c r="L32" s="84"/>
      <c r="M32" s="65"/>
      <c r="N32" s="145"/>
      <c r="O32" s="145"/>
      <c r="P32" s="145"/>
    </row>
    <row r="33" spans="2:16" ht="20" customHeight="1" x14ac:dyDescent="0.45">
      <c r="B33" s="258"/>
      <c r="C33" s="212" t="s">
        <v>745</v>
      </c>
      <c r="D33" s="553" t="str">
        <f>VLOOKUP(C33,'Sales Master'!B$3:D$537,2,)</f>
        <v>Jelly Powder 文头雪粉 (Carrageenan)</v>
      </c>
      <c r="E33" s="553"/>
      <c r="F33" s="553"/>
      <c r="G33" s="17">
        <v>1</v>
      </c>
      <c r="H33" s="183" t="str">
        <f>VLOOKUP(C33,'Sales Master'!$B$3:$F$2420,5,0)</f>
        <v>42gm x 10PKT/Bag</v>
      </c>
      <c r="I33" s="513" t="str">
        <f>VLOOKUP(C33,'Sales Master'!$B$3:$E$2420,4,0)</f>
        <v>500/4000</v>
      </c>
      <c r="J33" s="513"/>
      <c r="K33" s="190">
        <v>28</v>
      </c>
      <c r="L33" s="84"/>
      <c r="M33" s="65"/>
      <c r="N33" s="145"/>
      <c r="O33" s="145"/>
      <c r="P33" s="145"/>
    </row>
    <row r="34" spans="2:16" ht="20" customHeight="1" x14ac:dyDescent="0.45">
      <c r="B34" s="258"/>
      <c r="C34" s="212" t="s">
        <v>768</v>
      </c>
      <c r="D34" s="520" t="str">
        <f>VLOOKUP(C34,'Sales Master'!B$3:D$537,2,)</f>
        <v>Herbal Jelly Powder 龟苓膏粉</v>
      </c>
      <c r="E34" s="520"/>
      <c r="F34" s="520"/>
      <c r="G34" s="76">
        <v>1</v>
      </c>
      <c r="H34" s="183" t="str">
        <f>VLOOKUP(C34,'Sales Master'!$B$3:$F$2420,5,0)</f>
        <v>500 GM/BAG</v>
      </c>
      <c r="I34" s="513" t="str">
        <f>VLOOKUP(C34,'Sales Master'!$B$3:$E$2420,4,0)</f>
        <v>-</v>
      </c>
      <c r="J34" s="513"/>
      <c r="K34" s="190">
        <v>7</v>
      </c>
      <c r="L34" s="84"/>
      <c r="M34" s="65"/>
    </row>
    <row r="35" spans="2:16" ht="20" customHeight="1" x14ac:dyDescent="0.45">
      <c r="B35" s="258"/>
      <c r="C35" s="212" t="s">
        <v>783</v>
      </c>
      <c r="D35" s="553" t="str">
        <f>VLOOKUP(C35,'Sales Master'!B$3:D$537,2,)</f>
        <v>Green Mung Bean Starch 绿豆粉</v>
      </c>
      <c r="E35" s="553"/>
      <c r="F35" s="553"/>
      <c r="G35" s="76">
        <v>1</v>
      </c>
      <c r="H35" s="183" t="str">
        <f>VLOOKUP(C35,'Sales Master'!$B$3:$F$2420,5,0)</f>
        <v>1 KG</v>
      </c>
      <c r="I35" s="513" t="str">
        <f>VLOOKUP(C35,'Sales Master'!$B$3:$E$2420,4,0)</f>
        <v>-</v>
      </c>
      <c r="J35" s="513"/>
      <c r="K35" s="190">
        <v>6.8</v>
      </c>
      <c r="L35" s="84"/>
      <c r="M35" s="65"/>
    </row>
    <row r="36" spans="2:16" ht="20" customHeight="1" x14ac:dyDescent="0.45">
      <c r="B36" s="258"/>
      <c r="C36" s="212"/>
      <c r="D36" s="446"/>
      <c r="E36" s="446"/>
      <c r="F36" s="446"/>
      <c r="G36" s="76"/>
      <c r="H36" s="183"/>
      <c r="I36" s="513"/>
      <c r="J36" s="513"/>
      <c r="K36" s="83"/>
      <c r="L36" s="84"/>
      <c r="M36" s="65"/>
      <c r="N36" s="145"/>
      <c r="O36" s="145"/>
      <c r="P36" s="145"/>
    </row>
    <row r="37" spans="2:16" ht="20" customHeight="1" x14ac:dyDescent="0.45">
      <c r="B37" s="258"/>
      <c r="C37" s="149" t="s">
        <v>2296</v>
      </c>
      <c r="D37" s="403"/>
      <c r="E37" s="403"/>
      <c r="F37" s="403"/>
      <c r="G37" s="76"/>
      <c r="H37" s="186"/>
      <c r="I37" s="484"/>
      <c r="J37" s="484"/>
      <c r="K37" s="190"/>
      <c r="L37" s="84"/>
      <c r="M37" s="65"/>
      <c r="N37" s="145"/>
      <c r="O37" s="145"/>
      <c r="P37" s="145"/>
    </row>
    <row r="38" spans="2:16" ht="20" customHeight="1" x14ac:dyDescent="0.45">
      <c r="B38" s="258"/>
      <c r="C38" s="212" t="s">
        <v>853</v>
      </c>
      <c r="D38" s="446" t="str">
        <f>VLOOKUP(C38,'Sales Master'!B$3:D$537,2,)</f>
        <v>Small Sago 小丸</v>
      </c>
      <c r="E38" s="446"/>
      <c r="F38" s="446"/>
      <c r="G38" s="17">
        <v>1</v>
      </c>
      <c r="H38" s="183" t="str">
        <f>VLOOKUP(C38,'Sales Master'!$B$3:$F$2420,5,0)</f>
        <v>5 KG</v>
      </c>
      <c r="I38" s="513" t="str">
        <f>VLOOKUP(C38,'Sales Master'!$B$3:$E$2420,4,0)</f>
        <v>-</v>
      </c>
      <c r="J38" s="513"/>
      <c r="K38" s="190">
        <v>10.8</v>
      </c>
      <c r="L38" s="84"/>
      <c r="M38" s="65"/>
      <c r="N38" s="145"/>
      <c r="O38" s="145"/>
      <c r="P38" s="145"/>
    </row>
    <row r="39" spans="2:16" ht="20" customHeight="1" x14ac:dyDescent="0.45">
      <c r="B39" s="258"/>
      <c r="C39" s="212" t="s">
        <v>987</v>
      </c>
      <c r="D39" s="446" t="str">
        <f>VLOOKUP(C39,'Sales Master'!B$3:D$537,2,)</f>
        <v>Brown Sugar 黑糖</v>
      </c>
      <c r="E39" s="446"/>
      <c r="F39" s="446"/>
      <c r="G39" s="76">
        <v>1</v>
      </c>
      <c r="H39" s="183" t="str">
        <f>VLOOKUP(C39,'Sales Master'!$B$3:$F$2420,5,0)</f>
        <v>6 KG</v>
      </c>
      <c r="I39" s="513" t="str">
        <f>VLOOKUP(C39,'Sales Master'!$B$3:$E$2420,4,0)</f>
        <v>Star</v>
      </c>
      <c r="J39" s="513"/>
      <c r="K39" s="190">
        <v>17</v>
      </c>
      <c r="L39" s="84"/>
      <c r="M39" s="65"/>
      <c r="N39" s="145"/>
      <c r="O39" s="145"/>
      <c r="P39" s="145"/>
    </row>
    <row r="40" spans="2:16" ht="20" customHeight="1" x14ac:dyDescent="0.45">
      <c r="B40" s="258"/>
      <c r="C40" s="212" t="s">
        <v>989</v>
      </c>
      <c r="D40" s="446" t="str">
        <f>VLOOKUP(C40,'Sales Master'!B$3:D$537,2,)</f>
        <v>Red Sugar 赤糖</v>
      </c>
      <c r="E40" s="446"/>
      <c r="F40" s="446"/>
      <c r="G40" s="76">
        <v>1</v>
      </c>
      <c r="H40" s="183" t="str">
        <f>VLOOKUP(C40,'Sales Master'!$B$3:$F$2420,5,0)</f>
        <v>6 KG</v>
      </c>
      <c r="I40" s="513" t="str">
        <f>VLOOKUP(C40,'Sales Master'!$B$3:$E$2420,4,0)</f>
        <v>Star</v>
      </c>
      <c r="J40" s="513"/>
      <c r="K40" s="190">
        <v>17</v>
      </c>
      <c r="L40" s="84"/>
      <c r="M40" s="65"/>
      <c r="N40" s="145"/>
      <c r="O40" s="145"/>
      <c r="P40" s="145"/>
    </row>
    <row r="41" spans="2:16" ht="20" customHeight="1" x14ac:dyDescent="0.45">
      <c r="B41" s="258"/>
      <c r="C41" s="212" t="s">
        <v>1017</v>
      </c>
      <c r="D41" s="520" t="str">
        <f>VLOOKUP(C41,'Sales Master'!B$3:D$537,2,)</f>
        <v>Food Coloring - Liquid 颜色水</v>
      </c>
      <c r="E41" s="520"/>
      <c r="F41" s="520"/>
      <c r="G41" s="17">
        <v>1</v>
      </c>
      <c r="H41" s="183" t="str">
        <f>VLOOKUP(C41,'Sales Master'!$B$3:$F$2420,5,0)</f>
        <v>500 ML/ Btl支</v>
      </c>
      <c r="I41" s="513" t="str">
        <f>VLOOKUP(C41,'Sales Master'!$B$3:$E$2420,4,0)</f>
        <v>Red/红</v>
      </c>
      <c r="J41" s="513"/>
      <c r="K41" s="190">
        <v>2.8</v>
      </c>
      <c r="L41" s="84"/>
      <c r="M41" s="65"/>
      <c r="N41" s="145"/>
      <c r="O41" s="145"/>
      <c r="P41" s="145"/>
    </row>
    <row r="42" spans="2:16" ht="20" customHeight="1" x14ac:dyDescent="0.45">
      <c r="B42" s="258"/>
      <c r="C42" s="212" t="s">
        <v>1018</v>
      </c>
      <c r="D42" s="520" t="str">
        <f>VLOOKUP(C42,'Sales Master'!B$3:D$537,2,)</f>
        <v>Food Coloring - Liquid 颜色水</v>
      </c>
      <c r="E42" s="520"/>
      <c r="F42" s="520"/>
      <c r="G42" s="76">
        <v>1</v>
      </c>
      <c r="H42" s="183" t="str">
        <f>VLOOKUP(C42,'Sales Master'!$B$3:$F$2420,5,0)</f>
        <v>500 ML/ Btl支</v>
      </c>
      <c r="I42" s="513" t="str">
        <f>VLOOKUP(C42,'Sales Master'!$B$3:$E$2420,4,0)</f>
        <v>Green/青</v>
      </c>
      <c r="J42" s="513"/>
      <c r="K42" s="190">
        <v>2.8</v>
      </c>
      <c r="L42" s="84"/>
      <c r="M42" s="65"/>
      <c r="N42" s="145"/>
      <c r="O42" s="145"/>
      <c r="P42" s="145"/>
    </row>
    <row r="43" spans="2:16" ht="20" customHeight="1" x14ac:dyDescent="0.45">
      <c r="B43" s="258"/>
      <c r="C43" s="212" t="s">
        <v>1019</v>
      </c>
      <c r="D43" s="520" t="str">
        <f>VLOOKUP(C43,'Sales Master'!B$3:D$537,2,)</f>
        <v>Food Coloring - Liquid 颜色水</v>
      </c>
      <c r="E43" s="520"/>
      <c r="F43" s="520"/>
      <c r="G43" s="76">
        <v>1</v>
      </c>
      <c r="H43" s="183" t="str">
        <f>VLOOKUP(C43,'Sales Master'!$B$3:$F$2420,5,0)</f>
        <v>500 ML/ Btl支</v>
      </c>
      <c r="I43" s="513" t="str">
        <f>VLOOKUP(C43,'Sales Master'!$B$3:$E$2420,4,0)</f>
        <v>Yellow/黄</v>
      </c>
      <c r="J43" s="513"/>
      <c r="K43" s="190">
        <v>2.8</v>
      </c>
      <c r="L43" s="84"/>
      <c r="M43" s="65"/>
      <c r="N43" s="145"/>
      <c r="O43" s="145"/>
      <c r="P43" s="145"/>
    </row>
    <row r="44" spans="2:16" ht="20.149999999999999" customHeight="1" thickBot="1" x14ac:dyDescent="0.5">
      <c r="B44" s="32"/>
      <c r="C44" s="33"/>
      <c r="D44" s="529"/>
      <c r="E44" s="529"/>
      <c r="F44" s="529"/>
      <c r="G44" s="113"/>
      <c r="H44" s="57"/>
      <c r="I44" s="530"/>
      <c r="J44" s="530"/>
      <c r="K44" s="114"/>
      <c r="L44" s="115"/>
    </row>
    <row r="45" spans="2:16" ht="20.149999999999999" customHeight="1" thickBot="1" x14ac:dyDescent="0.5">
      <c r="B45" s="36"/>
      <c r="G45" s="65"/>
      <c r="L45" s="37"/>
    </row>
    <row r="46" spans="2:16" ht="20.149999999999999" customHeight="1" x14ac:dyDescent="0.45">
      <c r="B46" s="10" t="s">
        <v>16</v>
      </c>
      <c r="C46" s="6"/>
      <c r="D46" s="6"/>
      <c r="E46" s="6"/>
      <c r="F46" s="6"/>
      <c r="G46" s="6"/>
      <c r="H46" s="6"/>
      <c r="I46" s="6"/>
      <c r="J46" s="489" t="s">
        <v>13</v>
      </c>
      <c r="K46" s="490"/>
      <c r="L46" s="38">
        <f>SUM(L18:L45)</f>
        <v>266.3</v>
      </c>
      <c r="M46" s="63">
        <f>SUM(P18:P45)</f>
        <v>0</v>
      </c>
      <c r="N46" s="133">
        <f>M46/L46</f>
        <v>0</v>
      </c>
    </row>
    <row r="47" spans="2:16" ht="20.149999999999999" customHeight="1" x14ac:dyDescent="0.45">
      <c r="B47" s="10" t="s">
        <v>17</v>
      </c>
      <c r="C47" s="6"/>
      <c r="D47" s="6"/>
      <c r="E47" s="6"/>
      <c r="F47" s="6"/>
      <c r="G47" s="6"/>
      <c r="H47" s="6"/>
      <c r="I47" s="6"/>
      <c r="J47" s="39" t="s">
        <v>20</v>
      </c>
      <c r="K47" s="40"/>
      <c r="L47" s="41">
        <f>L46*K47</f>
        <v>0</v>
      </c>
    </row>
    <row r="48" spans="2:16" ht="20.149999999999999" customHeight="1" x14ac:dyDescent="0.45">
      <c r="B48" s="10" t="s">
        <v>18</v>
      </c>
      <c r="C48" s="6"/>
      <c r="D48" s="6"/>
      <c r="E48" s="6"/>
      <c r="F48" s="6"/>
      <c r="G48" s="6"/>
      <c r="H48" s="6"/>
      <c r="I48" s="6"/>
      <c r="J48" s="491" t="s">
        <v>19</v>
      </c>
      <c r="K48" s="492"/>
      <c r="L48" s="41">
        <f>L46-L47</f>
        <v>266.3</v>
      </c>
    </row>
    <row r="49" spans="2:12" ht="20.149999999999999" customHeight="1" x14ac:dyDescent="0.45">
      <c r="B49" s="10" t="s">
        <v>22</v>
      </c>
      <c r="C49" s="6"/>
      <c r="D49" s="6"/>
      <c r="E49" s="6"/>
      <c r="F49" s="6"/>
      <c r="G49" s="6"/>
      <c r="H49" s="6"/>
      <c r="I49" s="6"/>
      <c r="J49" s="102" t="s">
        <v>15</v>
      </c>
      <c r="K49" s="103">
        <f>'Sales Master'!$B$1</f>
        <v>0.09</v>
      </c>
      <c r="L49" s="42">
        <f>L48*K49</f>
        <v>23.966999999999999</v>
      </c>
    </row>
    <row r="50" spans="2:12" ht="20.149999999999999" customHeight="1" thickBot="1" x14ac:dyDescent="0.5">
      <c r="B50" s="10" t="s">
        <v>676</v>
      </c>
      <c r="C50" s="6"/>
      <c r="D50" s="6"/>
      <c r="E50" s="6"/>
      <c r="F50" s="6"/>
      <c r="G50" s="6"/>
      <c r="H50" s="6"/>
      <c r="I50" s="6"/>
      <c r="J50" s="485" t="s">
        <v>21</v>
      </c>
      <c r="K50" s="486"/>
      <c r="L50" s="43">
        <f>L48+L49</f>
        <v>290.267</v>
      </c>
    </row>
    <row r="51" spans="2:12" ht="20.149999999999999" customHeight="1" x14ac:dyDescent="0.45">
      <c r="B51" s="10" t="s">
        <v>24</v>
      </c>
      <c r="C51" s="6"/>
      <c r="D51" s="6"/>
      <c r="E51" s="6"/>
      <c r="F51" s="6"/>
      <c r="G51" s="6"/>
      <c r="H51" s="6"/>
      <c r="I51" s="6"/>
      <c r="L51" s="37"/>
    </row>
    <row r="52" spans="2:12" ht="20.149999999999999" customHeight="1" x14ac:dyDescent="0.45">
      <c r="B52" s="144" t="s">
        <v>666</v>
      </c>
      <c r="L52" s="37"/>
    </row>
    <row r="53" spans="2:12" ht="20.149999999999999" customHeight="1" x14ac:dyDescent="0.45">
      <c r="B53" s="144"/>
      <c r="L53" s="37"/>
    </row>
    <row r="54" spans="2:12" ht="20.149999999999999" customHeight="1" x14ac:dyDescent="0.45">
      <c r="B54" s="144"/>
      <c r="L54" s="37"/>
    </row>
    <row r="55" spans="2:12" ht="20.149999999999999" customHeight="1" x14ac:dyDescent="0.45">
      <c r="B55" s="36"/>
      <c r="L55" s="37"/>
    </row>
    <row r="56" spans="2:12" ht="20.149999999999999" customHeight="1" x14ac:dyDescent="0.45">
      <c r="B56" s="44"/>
      <c r="C56" s="45"/>
      <c r="D56" s="45"/>
      <c r="J56" s="45"/>
      <c r="K56" s="45"/>
      <c r="L56" s="46"/>
    </row>
    <row r="57" spans="2:12" ht="20.149999999999999" customHeight="1" x14ac:dyDescent="0.45">
      <c r="B57" s="36" t="s">
        <v>25</v>
      </c>
      <c r="J57" s="19" t="s">
        <v>26</v>
      </c>
      <c r="L57" s="37"/>
    </row>
    <row r="58" spans="2:12" ht="19" thickBot="1" x14ac:dyDescent="0.5">
      <c r="B58" s="47"/>
      <c r="C58" s="48"/>
      <c r="D58" s="48"/>
      <c r="E58" s="48"/>
      <c r="F58" s="48"/>
      <c r="G58" s="48"/>
      <c r="H58" s="48"/>
      <c r="I58" s="48"/>
      <c r="J58" s="48"/>
      <c r="K58" s="48"/>
      <c r="L58" s="49"/>
    </row>
    <row r="59" spans="2:12" ht="20.5" x14ac:dyDescent="0.45">
      <c r="F59" s="202"/>
    </row>
    <row r="1048562" spans="4:6" x14ac:dyDescent="0.45">
      <c r="D1048562" s="446"/>
      <c r="E1048562" s="446"/>
      <c r="F1048562" s="446"/>
    </row>
  </sheetData>
  <mergeCells count="68">
    <mergeCell ref="D18:F18"/>
    <mergeCell ref="I18:J18"/>
    <mergeCell ref="B1:L8"/>
    <mergeCell ref="D17:F17"/>
    <mergeCell ref="I17:J17"/>
    <mergeCell ref="B11:D11"/>
    <mergeCell ref="F11:H15"/>
    <mergeCell ref="K10:L10"/>
    <mergeCell ref="B13:D13"/>
    <mergeCell ref="K11:L11"/>
    <mergeCell ref="B12:D12"/>
    <mergeCell ref="K12:L12"/>
    <mergeCell ref="K13:L13"/>
    <mergeCell ref="B14:D14"/>
    <mergeCell ref="D19:F19"/>
    <mergeCell ref="D34:F34"/>
    <mergeCell ref="D31:F31"/>
    <mergeCell ref="D33:F33"/>
    <mergeCell ref="D24:F24"/>
    <mergeCell ref="D26:F26"/>
    <mergeCell ref="D20:F20"/>
    <mergeCell ref="D28:F28"/>
    <mergeCell ref="D23:F23"/>
    <mergeCell ref="D21:F21"/>
    <mergeCell ref="D22:F22"/>
    <mergeCell ref="D29:F29"/>
    <mergeCell ref="D1048562:F1048562"/>
    <mergeCell ref="D44:F44"/>
    <mergeCell ref="J50:K50"/>
    <mergeCell ref="J48:K48"/>
    <mergeCell ref="J46:K46"/>
    <mergeCell ref="I44:J44"/>
    <mergeCell ref="N11:P11"/>
    <mergeCell ref="K14:L14"/>
    <mergeCell ref="I37:J37"/>
    <mergeCell ref="I35:J35"/>
    <mergeCell ref="I34:J34"/>
    <mergeCell ref="I25:J25"/>
    <mergeCell ref="I27:J27"/>
    <mergeCell ref="I19:J19"/>
    <mergeCell ref="I32:J32"/>
    <mergeCell ref="I36:J36"/>
    <mergeCell ref="I24:J24"/>
    <mergeCell ref="I26:J26"/>
    <mergeCell ref="I20:J20"/>
    <mergeCell ref="I28:J28"/>
    <mergeCell ref="I23:J23"/>
    <mergeCell ref="D42:F42"/>
    <mergeCell ref="I42:J42"/>
    <mergeCell ref="D43:F43"/>
    <mergeCell ref="I43:J43"/>
    <mergeCell ref="D40:F40"/>
    <mergeCell ref="I40:J40"/>
    <mergeCell ref="I21:J21"/>
    <mergeCell ref="I22:J22"/>
    <mergeCell ref="I29:J29"/>
    <mergeCell ref="D41:F41"/>
    <mergeCell ref="I41:J41"/>
    <mergeCell ref="I38:J38"/>
    <mergeCell ref="I31:J31"/>
    <mergeCell ref="I39:J39"/>
    <mergeCell ref="I33:J33"/>
    <mergeCell ref="D35:F35"/>
    <mergeCell ref="D38:F38"/>
    <mergeCell ref="D39:F39"/>
    <mergeCell ref="D36:F36"/>
    <mergeCell ref="D25:F25"/>
    <mergeCell ref="D27:F27"/>
  </mergeCells>
  <conditionalFormatting sqref="C18">
    <cfRule type="duplicateValues" dxfId="217" priority="2709"/>
  </conditionalFormatting>
  <conditionalFormatting sqref="C32">
    <cfRule type="duplicateValues" dxfId="216" priority="2"/>
  </conditionalFormatting>
  <conditionalFormatting sqref="C37">
    <cfRule type="duplicateValues" dxfId="215" priority="1"/>
  </conditionalFormatting>
  <conditionalFormatting sqref="C43">
    <cfRule type="duplicateValues" dxfId="214" priority="3"/>
  </conditionalFormatting>
  <conditionalFormatting sqref="C44">
    <cfRule type="duplicateValues" dxfId="213" priority="754"/>
    <cfRule type="duplicateValues" dxfId="212" priority="761"/>
  </conditionalFormatting>
  <conditionalFormatting sqref="N11">
    <cfRule type="duplicateValues" dxfId="211" priority="62"/>
  </conditionalFormatting>
  <pageMargins left="0.70866141732283472" right="0.31496062992125984" top="0.23622047244094491" bottom="0.23622047244094491" header="0.31496062992125984" footer="0.31496062992125984"/>
  <pageSetup paperSize="9" scale="6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4F74B-8EBD-4E70-B283-AE595BDEC2CF}">
  <sheetPr codeName="Sheet36">
    <tabColor rgb="FFFFC000"/>
    <pageSetUpPr fitToPage="1"/>
  </sheetPr>
  <dimension ref="B1:Q52"/>
  <sheetViews>
    <sheetView topLeftCell="A26" workbookViewId="0">
      <selection activeCell="D35" sqref="D3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3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346">
        <f>'#01'!M1</f>
        <v>0.09</v>
      </c>
    </row>
    <row r="2" spans="2:13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3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3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3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3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3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3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70</v>
      </c>
      <c r="J10" s="24" t="s">
        <v>27</v>
      </c>
      <c r="K10" s="464">
        <v>202501125</v>
      </c>
      <c r="L10" s="465"/>
    </row>
    <row r="11" spans="2:13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Koufu Rasapura Masters                         2, Bayfront Avenue #B2-49A/50A Singapore 018972                              (Dessert)</v>
      </c>
      <c r="G11" s="470"/>
      <c r="H11" s="471"/>
      <c r="J11" s="26" t="s">
        <v>9</v>
      </c>
      <c r="K11" s="478">
        <v>45663</v>
      </c>
      <c r="L11" s="479"/>
    </row>
    <row r="12" spans="2:13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2245</v>
      </c>
      <c r="L12" s="483"/>
    </row>
    <row r="13" spans="2:13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3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3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3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7" ht="20.149999999999999" customHeight="1" x14ac:dyDescent="0.45">
      <c r="B18" s="29"/>
      <c r="C18" s="212" t="s">
        <v>702</v>
      </c>
      <c r="D18" s="487" t="str">
        <f>VLOOKUP(C18,'Sales Master'!B$3:D$537,2,)</f>
        <v>Durian Puree 榴莲酱</v>
      </c>
      <c r="E18" s="487"/>
      <c r="F18" s="487"/>
      <c r="G18" s="17">
        <v>5</v>
      </c>
      <c r="H18" s="186" t="str">
        <f>VLOOKUP(C18,'Sales Master'!$B$3:$F$2420,5,0)</f>
        <v>1 KG/ Box盒</v>
      </c>
      <c r="I18" s="484" t="str">
        <f>VLOOKUP(C18,'Sales Master'!$B$3:$E$2420,4,0)</f>
        <v>DO!</v>
      </c>
      <c r="J18" s="484"/>
      <c r="K18" s="30">
        <f>VLOOKUP(C18,'Sales Master'!$B$3:$J$537,9,0)</f>
        <v>7</v>
      </c>
      <c r="L18" s="64">
        <f t="shared" ref="L18" si="0">K18*G18</f>
        <v>35</v>
      </c>
      <c r="N18" s="145">
        <f>VLOOKUP(C18,'Sales Master'!$B$3:$DA$2279,104,0)</f>
        <v>4.71</v>
      </c>
      <c r="O18" s="145">
        <f t="shared" ref="O18" si="1">K18-N18</f>
        <v>2.29</v>
      </c>
      <c r="P18" s="145">
        <f t="shared" ref="P18" si="2">O18*G18</f>
        <v>11.45</v>
      </c>
      <c r="Q18" s="170"/>
    </row>
    <row r="19" spans="2:17" ht="20.149999999999999" customHeight="1" x14ac:dyDescent="0.45">
      <c r="B19" s="29"/>
      <c r="C19" s="212" t="s">
        <v>703</v>
      </c>
      <c r="D19" s="487" t="str">
        <f>VLOOKUP(C19,'Sales Master'!B$3:D$537,2,)</f>
        <v>Mango Puree 芒果酱</v>
      </c>
      <c r="E19" s="487"/>
      <c r="F19" s="487"/>
      <c r="G19" s="17">
        <v>5</v>
      </c>
      <c r="H19" s="186" t="str">
        <f>VLOOKUP(C19,'Sales Master'!$B$3:$F$2420,5,0)</f>
        <v>1 KG/ Box盒</v>
      </c>
      <c r="I19" s="484" t="str">
        <f>VLOOKUP(C19,'Sales Master'!$B$3:$E$2420,4,0)</f>
        <v>DO!</v>
      </c>
      <c r="J19" s="484"/>
      <c r="K19" s="30">
        <f>VLOOKUP(C19,'Sales Master'!$B$3:$J$537,9,0)</f>
        <v>7</v>
      </c>
      <c r="L19" s="64">
        <f t="shared" ref="L19" si="3">K19*G19</f>
        <v>35</v>
      </c>
      <c r="N19" s="145">
        <f>VLOOKUP(C19,'Sales Master'!$B$3:$DA$2279,104,0)</f>
        <v>2.15</v>
      </c>
      <c r="O19" s="145">
        <f t="shared" ref="O19" si="4">K19-N19</f>
        <v>4.8499999999999996</v>
      </c>
      <c r="P19" s="145">
        <f t="shared" ref="P19" si="5">O19*G19</f>
        <v>24.25</v>
      </c>
      <c r="Q19" s="170"/>
    </row>
    <row r="20" spans="2:17" ht="20.149999999999999" customHeight="1" x14ac:dyDescent="0.45">
      <c r="B20" s="29"/>
      <c r="C20" s="212" t="s">
        <v>712</v>
      </c>
      <c r="D20" s="498" t="str">
        <f>VLOOKUP(C20,'Sales Master'!B$3:D$537,2,)</f>
        <v>Bobo ChaCha Cubes 摩摩喳喳</v>
      </c>
      <c r="E20" s="498"/>
      <c r="F20" s="498"/>
      <c r="G20" s="17">
        <v>10</v>
      </c>
      <c r="H20" s="186" t="str">
        <f>VLOOKUP(C20,'Sales Master'!$B$3:$F$2420,5,0)</f>
        <v>800 GM/ Bag包</v>
      </c>
      <c r="I20" s="484" t="str">
        <f>VLOOKUP(C20,'Sales Master'!$B$3:$E$2420,4,0)</f>
        <v>DO!</v>
      </c>
      <c r="J20" s="484"/>
      <c r="K20" s="30">
        <f>VLOOKUP(C20,'Sales Master'!$B$3:$J$537,9,0)</f>
        <v>6</v>
      </c>
      <c r="L20" s="64">
        <f t="shared" ref="L20:L32" si="6">K20*G20</f>
        <v>60</v>
      </c>
      <c r="N20" s="145">
        <f>VLOOKUP(C20,'Sales Master'!$B$3:$DA$2279,104,0)</f>
        <v>0.89</v>
      </c>
      <c r="O20" s="145">
        <f t="shared" ref="O20:O32" si="7">K20-N20</f>
        <v>5.1100000000000003</v>
      </c>
      <c r="P20" s="145">
        <f t="shared" ref="P20:P32" si="8">O20*G20</f>
        <v>51.1</v>
      </c>
      <c r="Q20" s="170"/>
    </row>
    <row r="21" spans="2:17" ht="20.149999999999999" customHeight="1" x14ac:dyDescent="0.45">
      <c r="B21" s="29"/>
      <c r="C21" s="212" t="s">
        <v>733</v>
      </c>
      <c r="D21" s="487" t="str">
        <f>VLOOKUP(C21,'Sales Master'!B$3:D$537,2,)</f>
        <v>Tadpole JELLY  蝌蚪</v>
      </c>
      <c r="E21" s="487"/>
      <c r="F21" s="487"/>
      <c r="G21" s="17">
        <v>10</v>
      </c>
      <c r="H21" s="186" t="str">
        <f>VLOOKUP(C21,'Sales Master'!$B$3:$F$2420,5,0)</f>
        <v>1 KG/ Bag包</v>
      </c>
      <c r="I21" s="484" t="str">
        <f>VLOOKUP(C21,'Sales Master'!$B$3:$E$2420,4,0)</f>
        <v>FJ</v>
      </c>
      <c r="J21" s="484"/>
      <c r="K21" s="30">
        <f>VLOOKUP(C21,'Sales Master'!$B$3:$J$537,9,0)</f>
        <v>6</v>
      </c>
      <c r="L21" s="64">
        <f t="shared" si="6"/>
        <v>60</v>
      </c>
      <c r="N21" s="145">
        <f>VLOOKUP(C21,'Sales Master'!$B$3:$DA$2279,104,0)</f>
        <v>5.5</v>
      </c>
      <c r="O21" s="145">
        <f t="shared" si="7"/>
        <v>0.5</v>
      </c>
      <c r="P21" s="145">
        <f t="shared" si="8"/>
        <v>5</v>
      </c>
      <c r="Q21" s="170"/>
    </row>
    <row r="22" spans="2:17" ht="20.149999999999999" customHeight="1" x14ac:dyDescent="0.45">
      <c r="B22" s="29"/>
      <c r="C22" s="212" t="s">
        <v>791</v>
      </c>
      <c r="D22" s="487" t="str">
        <f>VLOOKUP(C22,'Sales Master'!B$3:D$537,2,)</f>
        <v>Potato Starch 风车粉</v>
      </c>
      <c r="E22" s="487"/>
      <c r="F22" s="487"/>
      <c r="G22" s="17">
        <v>1</v>
      </c>
      <c r="H22" s="186" t="str">
        <f>VLOOKUP(C22,'Sales Master'!$B$3:$F$2420,5,0)</f>
        <v>5 kg/ Pkt包</v>
      </c>
      <c r="I22" s="484" t="str">
        <f>VLOOKUP(C22,'Sales Master'!$B$3:$E$2420,4,0)</f>
        <v>RE-PACK</v>
      </c>
      <c r="J22" s="484"/>
      <c r="K22" s="30">
        <f>VLOOKUP(C22,'Sales Master'!$B$3:$J$537,9,0)</f>
        <v>13</v>
      </c>
      <c r="L22" s="64">
        <f t="shared" si="6"/>
        <v>13</v>
      </c>
      <c r="N22" s="145">
        <f>VLOOKUP(C22,'Sales Master'!$B$3:$DA$2279,104,0)</f>
        <v>8</v>
      </c>
      <c r="O22" s="145">
        <f t="shared" si="7"/>
        <v>5</v>
      </c>
      <c r="P22" s="145">
        <f t="shared" si="8"/>
        <v>5</v>
      </c>
      <c r="Q22" s="170"/>
    </row>
    <row r="23" spans="2:17" ht="20.149999999999999" customHeight="1" x14ac:dyDescent="0.45">
      <c r="B23" s="29"/>
      <c r="C23" s="212" t="s">
        <v>805</v>
      </c>
      <c r="D23" s="487" t="str">
        <f>VLOOKUP(C23,'Sales Master'!B$3:D$537,2,)</f>
        <v>Atap Seeds in Syrup 亚嗒子</v>
      </c>
      <c r="E23" s="487"/>
      <c r="F23" s="487"/>
      <c r="G23" s="17">
        <v>5</v>
      </c>
      <c r="H23" s="186" t="str">
        <f>VLOOKUP(C23,'Sales Master'!$B$3:$F$2420,5,0)</f>
        <v>NW(1.6:0.6) 2.2kg/ Bag包</v>
      </c>
      <c r="I23" s="484" t="str">
        <f>VLOOKUP(C23,'Sales Master'!$B$3:$E$2420,4,0)</f>
        <v>DO!</v>
      </c>
      <c r="J23" s="484"/>
      <c r="K23" s="30">
        <f>VLOOKUP(C23,'Sales Master'!$B$3:$J$537,9,0)</f>
        <v>9.5</v>
      </c>
      <c r="L23" s="64">
        <f t="shared" si="6"/>
        <v>47.5</v>
      </c>
      <c r="N23" s="145">
        <f>VLOOKUP(C23,'Sales Master'!$B$3:$DA$2279,104,0)</f>
        <v>7.3</v>
      </c>
      <c r="O23" s="145">
        <f t="shared" si="7"/>
        <v>2.2000000000000002</v>
      </c>
      <c r="P23" s="145">
        <f t="shared" si="8"/>
        <v>11</v>
      </c>
      <c r="Q23" s="170"/>
    </row>
    <row r="24" spans="2:17" ht="20.149999999999999" customHeight="1" x14ac:dyDescent="0.45">
      <c r="B24" s="29"/>
      <c r="C24" s="212" t="s">
        <v>817</v>
      </c>
      <c r="D24" s="487" t="str">
        <f>VLOOKUP(C24,'Sales Master'!B$3:D$537,2,)</f>
        <v>Small Red Bean 小红豆</v>
      </c>
      <c r="E24" s="487"/>
      <c r="F24" s="487"/>
      <c r="G24" s="17">
        <v>5</v>
      </c>
      <c r="H24" s="186" t="str">
        <f>VLOOKUP(C24,'Sales Master'!$B$3:$F$2420,5,0)</f>
        <v>5 KG</v>
      </c>
      <c r="I24" s="484" t="str">
        <f>VLOOKUP(C24,'Sales Master'!$B$3:$E$2420,4,0)</f>
        <v>-</v>
      </c>
      <c r="J24" s="484"/>
      <c r="K24" s="30">
        <f>VLOOKUP(C24,'Sales Master'!$B$3:$J$537,9,0)</f>
        <v>17.5</v>
      </c>
      <c r="L24" s="64">
        <f t="shared" si="6"/>
        <v>87.5</v>
      </c>
      <c r="N24" s="145">
        <f>VLOOKUP(C24,'Sales Master'!$B$3:$DA$2279,104,0)</f>
        <v>12.75</v>
      </c>
      <c r="O24" s="145">
        <f t="shared" si="7"/>
        <v>4.75</v>
      </c>
      <c r="P24" s="145">
        <f t="shared" si="8"/>
        <v>23.75</v>
      </c>
      <c r="Q24" s="170"/>
    </row>
    <row r="25" spans="2:17" ht="20.149999999999999" customHeight="1" x14ac:dyDescent="0.45">
      <c r="B25" s="29"/>
      <c r="C25" s="212" t="s">
        <v>825</v>
      </c>
      <c r="D25" s="487" t="str">
        <f>VLOOKUP(C25,'Sales Master'!B$3:D$537,2,)</f>
        <v>Green Bean 绿豆</v>
      </c>
      <c r="E25" s="487"/>
      <c r="F25" s="487"/>
      <c r="G25" s="17">
        <v>3</v>
      </c>
      <c r="H25" s="186" t="str">
        <f>VLOOKUP(C25,'Sales Master'!$B$3:$F$2420,5,0)</f>
        <v>5 KG</v>
      </c>
      <c r="I25" s="484" t="str">
        <f>VLOOKUP(C25,'Sales Master'!$B$3:$E$2420,4,0)</f>
        <v>-</v>
      </c>
      <c r="J25" s="484"/>
      <c r="K25" s="30">
        <f>VLOOKUP(C25,'Sales Master'!$B$3:$J$537,9,0)</f>
        <v>13</v>
      </c>
      <c r="L25" s="64">
        <f t="shared" si="6"/>
        <v>39</v>
      </c>
      <c r="N25" s="145">
        <f>VLOOKUP(C25,'Sales Master'!$B$3:$DA$2279,104,0)</f>
        <v>8.75</v>
      </c>
      <c r="O25" s="145">
        <f t="shared" si="7"/>
        <v>4.25</v>
      </c>
      <c r="P25" s="145">
        <f t="shared" si="8"/>
        <v>12.75</v>
      </c>
      <c r="Q25" s="170"/>
    </row>
    <row r="26" spans="2:17" ht="20.149999999999999" customHeight="1" x14ac:dyDescent="0.45">
      <c r="B26" s="29"/>
      <c r="C26" s="212" t="s">
        <v>837</v>
      </c>
      <c r="D26" s="487" t="str">
        <f>VLOOKUP(C26,'Sales Master'!B$3:D$537,2,)</f>
        <v>Black Glutinous Rice 黑糯米</v>
      </c>
      <c r="E26" s="487"/>
      <c r="F26" s="487"/>
      <c r="G26" s="17">
        <v>5</v>
      </c>
      <c r="H26" s="186" t="str">
        <f>VLOOKUP(C26,'Sales Master'!$B$3:$F$2420,5,0)</f>
        <v>5 KGS</v>
      </c>
      <c r="I26" s="484" t="str">
        <f>VLOOKUP(C26,'Sales Master'!$B$3:$E$2420,4,0)</f>
        <v>-</v>
      </c>
      <c r="J26" s="484"/>
      <c r="K26" s="30">
        <f>VLOOKUP(C26,'Sales Master'!$B$3:$J$537,9,0)</f>
        <v>18</v>
      </c>
      <c r="L26" s="64">
        <f t="shared" si="6"/>
        <v>90</v>
      </c>
      <c r="N26" s="145">
        <f>VLOOKUP(C26,'Sales Master'!$B$3:$DA$2279,104,0)</f>
        <v>12</v>
      </c>
      <c r="O26" s="145">
        <f t="shared" si="7"/>
        <v>6</v>
      </c>
      <c r="P26" s="145">
        <f t="shared" si="8"/>
        <v>30</v>
      </c>
      <c r="Q26" s="170"/>
    </row>
    <row r="27" spans="2:17" ht="20.149999999999999" customHeight="1" x14ac:dyDescent="0.45">
      <c r="B27" s="29"/>
      <c r="C27" s="212" t="s">
        <v>846</v>
      </c>
      <c r="D27" s="487" t="str">
        <f>VLOOKUP(C27,'Sales Master'!B$3:D$537,2,)</f>
        <v>Pearl Barley 薏米</v>
      </c>
      <c r="E27" s="487"/>
      <c r="F27" s="487"/>
      <c r="G27" s="17">
        <v>5</v>
      </c>
      <c r="H27" s="186" t="str">
        <f>VLOOKUP(C27,'Sales Master'!$B$3:$F$2420,5,0)</f>
        <v>5 KG</v>
      </c>
      <c r="I27" s="484" t="str">
        <f>VLOOKUP(C27,'Sales Master'!$B$3:$E$2420,4,0)</f>
        <v>-</v>
      </c>
      <c r="J27" s="484"/>
      <c r="K27" s="30">
        <f>VLOOKUP(C27,'Sales Master'!$B$3:$J$537,9,0)</f>
        <v>10</v>
      </c>
      <c r="L27" s="64">
        <f t="shared" si="6"/>
        <v>50</v>
      </c>
      <c r="N27" s="145">
        <f>VLOOKUP(C27,'Sales Master'!$B$3:$DA$2279,104,0)</f>
        <v>7.6</v>
      </c>
      <c r="O27" s="145">
        <f t="shared" si="7"/>
        <v>2.4000000000000004</v>
      </c>
      <c r="P27" s="145">
        <f t="shared" si="8"/>
        <v>12.000000000000002</v>
      </c>
      <c r="Q27" s="170"/>
    </row>
    <row r="28" spans="2:17" ht="20.149999999999999" customHeight="1" x14ac:dyDescent="0.45">
      <c r="B28" s="29"/>
      <c r="C28" s="212" t="s">
        <v>853</v>
      </c>
      <c r="D28" s="487" t="str">
        <f>VLOOKUP(C28,'Sales Master'!B$3:D$537,2,)</f>
        <v>Small Sago 小丸</v>
      </c>
      <c r="E28" s="487"/>
      <c r="F28" s="487"/>
      <c r="G28" s="17">
        <v>1</v>
      </c>
      <c r="H28" s="186" t="str">
        <f>VLOOKUP(C28,'Sales Master'!$B$3:$F$2420,5,0)</f>
        <v>5 KG</v>
      </c>
      <c r="I28" s="484" t="str">
        <f>VLOOKUP(C28,'Sales Master'!$B$3:$E$2420,4,0)</f>
        <v>-</v>
      </c>
      <c r="J28" s="484"/>
      <c r="K28" s="30">
        <f>VLOOKUP(C28,'Sales Master'!$B$3:$J$537,9,0)</f>
        <v>10</v>
      </c>
      <c r="L28" s="64">
        <f t="shared" si="6"/>
        <v>10</v>
      </c>
      <c r="N28" s="145">
        <f>VLOOKUP(C28,'Sales Master'!$B$3:$DA$2279,104,0)</f>
        <v>0.70833333333333326</v>
      </c>
      <c r="O28" s="145">
        <f t="shared" si="7"/>
        <v>9.2916666666666661</v>
      </c>
      <c r="P28" s="145">
        <f t="shared" si="8"/>
        <v>9.2916666666666661</v>
      </c>
      <c r="Q28" s="170"/>
    </row>
    <row r="29" spans="2:17" ht="20.149999999999999" customHeight="1" x14ac:dyDescent="0.45">
      <c r="B29" s="29"/>
      <c r="C29" s="212" t="s">
        <v>856</v>
      </c>
      <c r="D29" s="487" t="str">
        <f>VLOOKUP(C29,'Sales Master'!B$3:D$537,2,)</f>
        <v>Dried Longan 龙眼干</v>
      </c>
      <c r="E29" s="487"/>
      <c r="F29" s="487"/>
      <c r="G29" s="17">
        <v>10</v>
      </c>
      <c r="H29" s="186" t="str">
        <f>VLOOKUP(C29,'Sales Master'!$B$3:$F$2420,5,0)</f>
        <v>1 kg/ Pkt包</v>
      </c>
      <c r="I29" s="484" t="str">
        <f>VLOOKUP(C29,'Sales Master'!$B$3:$E$2420,4,0)</f>
        <v>TL</v>
      </c>
      <c r="J29" s="484"/>
      <c r="K29" s="30">
        <f>VLOOKUP(C29,'Sales Master'!$B$3:$J$537,9,0)</f>
        <v>12</v>
      </c>
      <c r="L29" s="64">
        <f t="shared" si="6"/>
        <v>120</v>
      </c>
      <c r="N29" s="145">
        <f>VLOOKUP(C29,'Sales Master'!$B$3:$DA$2279,104,0)</f>
        <v>8.8000000000000007</v>
      </c>
      <c r="O29" s="145">
        <f t="shared" si="7"/>
        <v>3.1999999999999993</v>
      </c>
      <c r="P29" s="145">
        <f t="shared" si="8"/>
        <v>31.999999999999993</v>
      </c>
      <c r="Q29" s="170"/>
    </row>
    <row r="30" spans="2:17" ht="20.149999999999999" customHeight="1" x14ac:dyDescent="0.45">
      <c r="B30" s="29"/>
      <c r="C30" s="212" t="s">
        <v>929</v>
      </c>
      <c r="D30" s="487" t="str">
        <f>VLOOKUP(C30,'Sales Master'!B$3:D$537,2,)</f>
        <v>Aloe Vera 芦荟 10mm</v>
      </c>
      <c r="E30" s="487"/>
      <c r="F30" s="487"/>
      <c r="G30" s="17">
        <v>3</v>
      </c>
      <c r="H30" s="186" t="str">
        <f>VLOOKUP(C30,'Sales Master'!$B$3:$F$2420,5,0)</f>
        <v>1 Can X A10</v>
      </c>
      <c r="I30" s="484" t="str">
        <f>VLOOKUP(C30,'Sales Master'!$B$3:$E$2420,4,0)</f>
        <v>Chefs</v>
      </c>
      <c r="J30" s="484"/>
      <c r="K30" s="30">
        <f>VLOOKUP(C30,'Sales Master'!$B$3:$J$537,9,0)</f>
        <v>10</v>
      </c>
      <c r="L30" s="64">
        <f t="shared" si="6"/>
        <v>30</v>
      </c>
      <c r="N30" s="145">
        <f>VLOOKUP(C30,'Sales Master'!$B$3:$DA$2279,104,0)</f>
        <v>7</v>
      </c>
      <c r="O30" s="145">
        <f t="shared" si="7"/>
        <v>3</v>
      </c>
      <c r="P30" s="145">
        <f t="shared" si="8"/>
        <v>9</v>
      </c>
      <c r="Q30" s="170"/>
    </row>
    <row r="31" spans="2:17" ht="20.149999999999999" customHeight="1" x14ac:dyDescent="0.45">
      <c r="B31" s="29"/>
      <c r="C31" s="212" t="s">
        <v>966</v>
      </c>
      <c r="D31" s="487" t="str">
        <f>VLOOKUP(C31,'Sales Master'!B$3:D$537,2,)</f>
        <v>Coconut Milk 椰浆</v>
      </c>
      <c r="E31" s="487"/>
      <c r="F31" s="487"/>
      <c r="G31" s="17">
        <v>4</v>
      </c>
      <c r="H31" s="186" t="str">
        <f>VLOOKUP(C31,'Sales Master'!$B$3:$F$2420,5,0)</f>
        <v>(1L x 12bag)/箱</v>
      </c>
      <c r="I31" s="484" t="str">
        <f>VLOOKUP(C31,'Sales Master'!$B$3:$E$2420,4,0)</f>
        <v>Kara UHT</v>
      </c>
      <c r="J31" s="484"/>
      <c r="K31" s="30">
        <f>VLOOKUP(C31,'Sales Master'!$B$3:$J$537,9,0)</f>
        <v>54</v>
      </c>
      <c r="L31" s="64">
        <f t="shared" si="6"/>
        <v>216</v>
      </c>
      <c r="N31" s="145">
        <f>VLOOKUP(C31,'Sales Master'!$B$3:$DA$2279,104,0)</f>
        <v>35.799999999999997</v>
      </c>
      <c r="O31" s="145">
        <f t="shared" si="7"/>
        <v>18.200000000000003</v>
      </c>
      <c r="P31" s="145">
        <f t="shared" si="8"/>
        <v>72.800000000000011</v>
      </c>
      <c r="Q31" s="170"/>
    </row>
    <row r="32" spans="2:17" ht="20.149999999999999" customHeight="1" x14ac:dyDescent="0.45">
      <c r="B32" s="29"/>
      <c r="C32" s="212" t="s">
        <v>985</v>
      </c>
      <c r="D32" s="487" t="str">
        <f>VLOOKUP(C32,'Sales Master'!B$3:D$537,2,)</f>
        <v>Rock Sugar 冰糖</v>
      </c>
      <c r="E32" s="487"/>
      <c r="F32" s="487"/>
      <c r="G32" s="17">
        <v>5</v>
      </c>
      <c r="H32" s="186" t="str">
        <f>VLOOKUP(C32,'Sales Master'!$B$3:$F$2420,5,0)</f>
        <v>3 KG</v>
      </c>
      <c r="I32" s="484" t="str">
        <f>VLOOKUP(C32,'Sales Master'!$B$3:$E$2420,4,0)</f>
        <v>Star</v>
      </c>
      <c r="J32" s="484"/>
      <c r="K32" s="30">
        <f>VLOOKUP(C32,'Sales Master'!$B$3:$J$537,9,0)</f>
        <v>6.5</v>
      </c>
      <c r="L32" s="64">
        <f t="shared" si="6"/>
        <v>32.5</v>
      </c>
      <c r="N32" s="145">
        <f>VLOOKUP(C32,'Sales Master'!$B$3:$DA$2279,104,0)</f>
        <v>4.666666666666667</v>
      </c>
      <c r="O32" s="145">
        <f t="shared" si="7"/>
        <v>1.833333333333333</v>
      </c>
      <c r="P32" s="145">
        <f t="shared" si="8"/>
        <v>9.1666666666666643</v>
      </c>
      <c r="Q32" s="170"/>
    </row>
    <row r="33" spans="2:17" ht="20.149999999999999" customHeight="1" x14ac:dyDescent="0.45">
      <c r="B33" s="29"/>
      <c r="C33" s="212" t="s">
        <v>998</v>
      </c>
      <c r="D33" s="487" t="str">
        <f>VLOOKUP(C33,'Sales Master'!B$3:D$537,2,)</f>
        <v>Candy Sugar 片糖</v>
      </c>
      <c r="E33" s="487"/>
      <c r="F33" s="487"/>
      <c r="G33" s="17">
        <v>1</v>
      </c>
      <c r="H33" s="186" t="str">
        <f>VLOOKUP(C33,'Sales Master'!$B$3:$F$2420,5,0)</f>
        <v>400 GM x 50 pkt/ Ctn</v>
      </c>
      <c r="I33" s="484" t="str">
        <f>VLOOKUP(C33,'Sales Master'!$B$3:$E$2420,4,0)</f>
        <v>-</v>
      </c>
      <c r="J33" s="484"/>
      <c r="K33" s="30">
        <f>VLOOKUP(C33,'Sales Master'!$B$3:$J$537,9,0)</f>
        <v>45</v>
      </c>
      <c r="L33" s="64">
        <f t="shared" ref="L33" si="9">K33*G33</f>
        <v>45</v>
      </c>
      <c r="N33" s="145">
        <f>VLOOKUP(C33,'Sales Master'!$B$3:$DA$2279,104,0)</f>
        <v>40</v>
      </c>
      <c r="O33" s="145">
        <f t="shared" ref="O33" si="10">K33-N33</f>
        <v>5</v>
      </c>
      <c r="P33" s="145">
        <f t="shared" ref="P33" si="11">O33*G33</f>
        <v>5</v>
      </c>
      <c r="Q33" s="170"/>
    </row>
    <row r="34" spans="2:17" ht="20.149999999999999" customHeight="1" x14ac:dyDescent="0.45">
      <c r="B34" s="29"/>
      <c r="C34" s="212"/>
      <c r="G34" s="17"/>
      <c r="H34" s="186"/>
      <c r="I34" s="208"/>
      <c r="J34" s="208"/>
      <c r="K34" s="30"/>
      <c r="L34" s="64"/>
      <c r="N34" s="145"/>
      <c r="O34" s="145"/>
      <c r="P34" s="145"/>
      <c r="Q34" s="170"/>
    </row>
    <row r="35" spans="2:17" ht="20.149999999999999" customHeight="1" x14ac:dyDescent="0.45">
      <c r="B35" s="29"/>
      <c r="C35" s="212"/>
      <c r="G35" s="17"/>
      <c r="H35" s="186"/>
      <c r="I35" s="208"/>
      <c r="J35" s="208"/>
      <c r="K35" s="30"/>
      <c r="L35" s="64"/>
      <c r="N35" s="145"/>
      <c r="O35" s="145"/>
      <c r="P35" s="145"/>
      <c r="Q35" s="170"/>
    </row>
    <row r="36" spans="2:17" ht="20.149999999999999" customHeight="1" x14ac:dyDescent="0.45">
      <c r="B36" s="29"/>
      <c r="C36" s="149" t="s">
        <v>2271</v>
      </c>
      <c r="D36" s="403"/>
      <c r="E36" s="403"/>
      <c r="F36" s="403"/>
      <c r="G36" s="76"/>
      <c r="H36" s="186"/>
      <c r="I36" s="484"/>
      <c r="J36" s="484"/>
      <c r="K36" s="190"/>
      <c r="L36" s="64"/>
      <c r="N36" s="145"/>
      <c r="O36" s="145"/>
      <c r="P36" s="145"/>
      <c r="Q36" s="170"/>
    </row>
    <row r="37" spans="2:17" ht="20.149999999999999" customHeight="1" x14ac:dyDescent="0.45">
      <c r="B37" s="29"/>
      <c r="C37" s="212" t="s">
        <v>966</v>
      </c>
      <c r="D37" s="493" t="e">
        <f>VLOOKUP(C37,#REF!,2,0)</f>
        <v>#REF!</v>
      </c>
      <c r="E37" s="493"/>
      <c r="F37" s="493"/>
      <c r="G37" s="17">
        <v>1</v>
      </c>
      <c r="H37" s="186" t="e">
        <f>VLOOKUP(C37,#REF!,5,0)</f>
        <v>#REF!</v>
      </c>
      <c r="I37" s="484" t="e">
        <f>VLOOKUP(C37,#REF!,4,0)</f>
        <v>#REF!</v>
      </c>
      <c r="J37" s="484"/>
      <c r="K37" s="190">
        <v>48</v>
      </c>
      <c r="L37" s="64"/>
      <c r="N37" s="145"/>
      <c r="O37" s="145"/>
      <c r="P37" s="145"/>
      <c r="Q37" s="170"/>
    </row>
    <row r="38" spans="2:17" ht="20.149999999999999" customHeight="1" thickBot="1" x14ac:dyDescent="0.5">
      <c r="B38" s="32"/>
      <c r="C38" s="33"/>
      <c r="D38" s="488"/>
      <c r="E38" s="488"/>
      <c r="F38" s="488"/>
      <c r="G38" s="33"/>
      <c r="H38" s="33"/>
      <c r="I38" s="33"/>
      <c r="J38" s="33"/>
      <c r="K38" s="34"/>
      <c r="L38" s="35"/>
    </row>
    <row r="39" spans="2:17" ht="20.149999999999999" customHeight="1" thickBot="1" x14ac:dyDescent="0.5">
      <c r="B39" s="36"/>
      <c r="L39" s="37"/>
      <c r="M39" s="63"/>
    </row>
    <row r="40" spans="2:17" ht="20.149999999999999" customHeight="1" x14ac:dyDescent="0.45">
      <c r="B40" s="10" t="s">
        <v>16</v>
      </c>
      <c r="C40" s="6"/>
      <c r="D40" s="6"/>
      <c r="E40" s="6"/>
      <c r="F40" s="6"/>
      <c r="G40" s="6"/>
      <c r="H40" s="6"/>
      <c r="I40" s="6"/>
      <c r="J40" s="489" t="s">
        <v>13</v>
      </c>
      <c r="K40" s="490"/>
      <c r="L40" s="38">
        <f>SUM(L16:L38)</f>
        <v>970.5</v>
      </c>
      <c r="M40" s="63">
        <f>SUM(P18:P38)-L40*0.04</f>
        <v>284.73833333333334</v>
      </c>
      <c r="N40" s="133">
        <f>M40/L40</f>
        <v>0.29339343980765931</v>
      </c>
    </row>
    <row r="41" spans="2:17" ht="20.149999999999999" customHeight="1" x14ac:dyDescent="0.45">
      <c r="B41" s="10" t="s">
        <v>17</v>
      </c>
      <c r="C41" s="6"/>
      <c r="D41" s="6"/>
      <c r="E41" s="6"/>
      <c r="F41" s="6"/>
      <c r="G41" s="6"/>
      <c r="H41" s="6"/>
      <c r="I41" s="6"/>
      <c r="J41" s="39" t="s">
        <v>20</v>
      </c>
      <c r="K41" s="40"/>
      <c r="L41" s="41">
        <f>L40*K41</f>
        <v>0</v>
      </c>
    </row>
    <row r="42" spans="2:17" ht="20.149999999999999" customHeight="1" x14ac:dyDescent="0.45">
      <c r="B42" s="10" t="s">
        <v>18</v>
      </c>
      <c r="C42" s="6"/>
      <c r="D42" s="6"/>
      <c r="E42" s="6"/>
      <c r="F42" s="6"/>
      <c r="G42" s="6"/>
      <c r="H42" s="6"/>
      <c r="I42" s="6"/>
      <c r="J42" s="491" t="s">
        <v>19</v>
      </c>
      <c r="K42" s="492"/>
      <c r="L42" s="41">
        <f>L40-L41</f>
        <v>970.5</v>
      </c>
    </row>
    <row r="43" spans="2:17" ht="20.149999999999999" customHeight="1" x14ac:dyDescent="0.45">
      <c r="B43" s="10" t="s">
        <v>22</v>
      </c>
      <c r="C43" s="6"/>
      <c r="D43" s="6"/>
      <c r="E43" s="6"/>
      <c r="F43" s="6"/>
      <c r="G43" s="6"/>
      <c r="H43" s="6"/>
      <c r="I43" s="6"/>
      <c r="J43" s="102" t="s">
        <v>15</v>
      </c>
      <c r="K43" s="103">
        <f>'Sales Master'!$B$1</f>
        <v>0.09</v>
      </c>
      <c r="L43" s="42">
        <f>L42*K43</f>
        <v>87.344999999999999</v>
      </c>
    </row>
    <row r="44" spans="2:17" ht="20.149999999999999" customHeight="1" thickBot="1" x14ac:dyDescent="0.5">
      <c r="B44" s="10" t="s">
        <v>23</v>
      </c>
      <c r="C44" s="6"/>
      <c r="D44" s="6"/>
      <c r="E44" s="6"/>
      <c r="F44" s="6"/>
      <c r="G44" s="6"/>
      <c r="H44" s="6"/>
      <c r="I44" s="6"/>
      <c r="J44" s="485" t="s">
        <v>21</v>
      </c>
      <c r="K44" s="486"/>
      <c r="L44" s="43">
        <f>L42+L43</f>
        <v>1057.845</v>
      </c>
    </row>
    <row r="45" spans="2:17" ht="20.149999999999999" customHeight="1" x14ac:dyDescent="0.45">
      <c r="B45" s="10" t="s">
        <v>24</v>
      </c>
      <c r="C45" s="6"/>
      <c r="D45" s="6"/>
      <c r="E45" s="6"/>
      <c r="F45" s="6"/>
      <c r="G45" s="6"/>
      <c r="H45" s="6"/>
      <c r="I45" s="6"/>
      <c r="L45" s="37"/>
    </row>
    <row r="46" spans="2:17" ht="20.149999999999999" customHeight="1" x14ac:dyDescent="0.45">
      <c r="B46" s="36"/>
      <c r="L46" s="37"/>
    </row>
    <row r="47" spans="2:17" ht="20.149999999999999" customHeight="1" x14ac:dyDescent="0.45">
      <c r="B47" s="36"/>
      <c r="L47" s="37"/>
    </row>
    <row r="48" spans="2:17" ht="20.149999999999999" customHeight="1" x14ac:dyDescent="0.45">
      <c r="B48" s="36"/>
      <c r="L48" s="37"/>
    </row>
    <row r="49" spans="2:12" ht="20.149999999999999" customHeight="1" x14ac:dyDescent="0.45">
      <c r="B49" s="36"/>
      <c r="L49" s="37"/>
    </row>
    <row r="50" spans="2:12" ht="20.149999999999999" customHeight="1" x14ac:dyDescent="0.45">
      <c r="B50" s="44"/>
      <c r="C50" s="45"/>
      <c r="D50" s="45"/>
      <c r="J50" s="45"/>
      <c r="K50" s="45"/>
      <c r="L50" s="46"/>
    </row>
    <row r="51" spans="2:12" ht="20.149999999999999" customHeight="1" x14ac:dyDescent="0.45">
      <c r="B51" s="36" t="s">
        <v>25</v>
      </c>
      <c r="J51" s="19" t="s">
        <v>26</v>
      </c>
      <c r="L51" s="37"/>
    </row>
    <row r="52" spans="2:12" ht="19" thickBot="1" x14ac:dyDescent="0.5">
      <c r="B52" s="47"/>
      <c r="C52" s="48"/>
      <c r="D52" s="48"/>
      <c r="E52" s="48"/>
      <c r="F52" s="48"/>
      <c r="G52" s="48"/>
      <c r="H52" s="48"/>
      <c r="I52" s="48"/>
      <c r="J52" s="48"/>
      <c r="K52" s="48"/>
      <c r="L52" s="49"/>
    </row>
  </sheetData>
  <mergeCells count="54">
    <mergeCell ref="J44:K44"/>
    <mergeCell ref="D38:F38"/>
    <mergeCell ref="J40:K40"/>
    <mergeCell ref="J42:K42"/>
    <mergeCell ref="D28:F28"/>
    <mergeCell ref="I28:J28"/>
    <mergeCell ref="I36:J36"/>
    <mergeCell ref="D37:F37"/>
    <mergeCell ref="I37:J37"/>
    <mergeCell ref="I21:J21"/>
    <mergeCell ref="D27:F27"/>
    <mergeCell ref="D33:F33"/>
    <mergeCell ref="D30:F30"/>
    <mergeCell ref="I27:J27"/>
    <mergeCell ref="I33:J33"/>
    <mergeCell ref="I30:J30"/>
    <mergeCell ref="I31:J31"/>
    <mergeCell ref="D31:F31"/>
    <mergeCell ref="D29:F29"/>
    <mergeCell ref="D32:F32"/>
    <mergeCell ref="I32:J32"/>
    <mergeCell ref="I29:J29"/>
    <mergeCell ref="B15:D15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9:F19"/>
    <mergeCell ref="I19:J19"/>
    <mergeCell ref="D26:F26"/>
    <mergeCell ref="I26:J26"/>
    <mergeCell ref="D17:F17"/>
    <mergeCell ref="D23:F23"/>
    <mergeCell ref="I23:J23"/>
    <mergeCell ref="I25:J25"/>
    <mergeCell ref="I24:J24"/>
    <mergeCell ref="D25:F25"/>
    <mergeCell ref="D20:F20"/>
    <mergeCell ref="I20:J20"/>
    <mergeCell ref="D22:F22"/>
    <mergeCell ref="I22:J22"/>
    <mergeCell ref="D24:F24"/>
    <mergeCell ref="D21:F21"/>
  </mergeCells>
  <conditionalFormatting sqref="C36">
    <cfRule type="duplicateValues" dxfId="259" priority="1"/>
  </conditionalFormatting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CE138-72B0-4573-B117-6BE1E4DEE012}">
  <sheetPr codeName="Sheet25">
    <tabColor rgb="FFFFC000"/>
    <pageSetUpPr fitToPage="1"/>
  </sheetPr>
  <dimension ref="B1:P54"/>
  <sheetViews>
    <sheetView topLeftCell="A28" zoomScaleNormal="100" workbookViewId="0">
      <selection activeCell="D36" sqref="D36:F3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173</v>
      </c>
      <c r="J10" s="24" t="s">
        <v>27</v>
      </c>
      <c r="K10" s="464">
        <v>202501254</v>
      </c>
      <c r="L10" s="465"/>
      <c r="N10" s="19" t="s">
        <v>1028</v>
      </c>
    </row>
    <row r="11" spans="2:14" ht="20.149999999999999" customHeight="1" x14ac:dyDescent="0.45">
      <c r="B11" s="466" t="s">
        <v>394</v>
      </c>
      <c r="C11" s="467"/>
      <c r="D11" s="468"/>
      <c r="E11" s="25"/>
      <c r="F11" s="469" t="str">
        <f>VLOOKUP(H10,'[2]Delivery Location'!A$4:N$423,2,0)</f>
        <v xml:space="preserve">Balestier Market Pte Ltd                      411, Balestier Road.                          Singapore 329930                                      (Dessert Stall) </v>
      </c>
      <c r="G11" s="470"/>
      <c r="H11" s="471"/>
      <c r="J11" s="26" t="s">
        <v>9</v>
      </c>
      <c r="K11" s="478">
        <v>45668</v>
      </c>
      <c r="L11" s="479"/>
    </row>
    <row r="12" spans="2:14" ht="20.149999999999999" customHeight="1" x14ac:dyDescent="0.45">
      <c r="B12" s="480" t="s">
        <v>365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1108</v>
      </c>
      <c r="L12" s="483"/>
    </row>
    <row r="13" spans="2:14" ht="20.149999999999999" customHeight="1" x14ac:dyDescent="0.45">
      <c r="B13" s="480" t="s">
        <v>366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4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50"/>
      <c r="C15" s="51"/>
      <c r="D15" s="52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421"/>
      <c r="O17" s="421"/>
      <c r="P17" s="421"/>
    </row>
    <row r="18" spans="2:16" ht="20.149999999999999" customHeight="1" x14ac:dyDescent="0.45">
      <c r="B18" s="29"/>
      <c r="C18" s="212" t="s">
        <v>697</v>
      </c>
      <c r="D18" s="487" t="str">
        <f>VLOOKUP(C18,'Sales Master'!B$3:D$537,2,)</f>
        <v xml:space="preserve">Fresh Soursop 红毛榴莲 </v>
      </c>
      <c r="E18" s="487"/>
      <c r="F18" s="487"/>
      <c r="G18" s="76">
        <v>1</v>
      </c>
      <c r="H18" s="247" t="str">
        <f>VLOOKUP(C18,'Sales Master'!B$3:F$2424,5,0)</f>
        <v>GW:5 KG/ Pkt包</v>
      </c>
      <c r="I18" s="555" t="str">
        <f>VLOOKUP(C18,'Sales Master'!B$3:E$2424,4,0)</f>
        <v>DO!</v>
      </c>
      <c r="J18" s="555"/>
      <c r="K18" s="80">
        <f>VLOOKUP(C18,'Sales Master'!$B$3:$P$3035,15,0)</f>
        <v>34</v>
      </c>
      <c r="L18" s="64">
        <f t="shared" ref="L18" si="0">K18*G18</f>
        <v>34</v>
      </c>
      <c r="M18" s="65"/>
      <c r="N18" s="398"/>
      <c r="O18" s="398"/>
      <c r="P18" s="398"/>
    </row>
    <row r="19" spans="2:16" ht="20.149999999999999" customHeight="1" x14ac:dyDescent="0.45">
      <c r="B19" s="29"/>
      <c r="C19" s="212" t="s">
        <v>702</v>
      </c>
      <c r="D19" s="524" t="str">
        <f>VLOOKUP(C19,'Sales Master'!B$3:D$537,2,)</f>
        <v>Durian Puree 榴莲酱</v>
      </c>
      <c r="E19" s="524"/>
      <c r="F19" s="524"/>
      <c r="G19" s="76">
        <v>1</v>
      </c>
      <c r="H19" s="247" t="str">
        <f>VLOOKUP(C19,'Sales Master'!B$3:F$2424,5,0)</f>
        <v>1 KG/ Box盒</v>
      </c>
      <c r="I19" s="513" t="str">
        <f>VLOOKUP(C19,'Sales Master'!B$3:E$2424,4,0)</f>
        <v>DO!</v>
      </c>
      <c r="J19" s="513"/>
      <c r="K19" s="80">
        <f>VLOOKUP(C19,'Sales Master'!$B$3:$P$3035,15,0)</f>
        <v>9</v>
      </c>
      <c r="L19" s="64">
        <f>K19*G19</f>
        <v>9</v>
      </c>
      <c r="M19" s="65"/>
      <c r="N19" s="398"/>
      <c r="O19" s="398"/>
      <c r="P19" s="398"/>
    </row>
    <row r="20" spans="2:16" ht="20.149999999999999" customHeight="1" x14ac:dyDescent="0.45">
      <c r="B20" s="29"/>
      <c r="C20" s="212" t="s">
        <v>712</v>
      </c>
      <c r="D20" s="498" t="str">
        <f>VLOOKUP(C20,'Sales Master'!B$3:D$537,2,)</f>
        <v>Bobo ChaCha Cubes 摩摩喳喳</v>
      </c>
      <c r="E20" s="498"/>
      <c r="F20" s="498"/>
      <c r="G20" s="76">
        <v>3</v>
      </c>
      <c r="H20" s="247" t="str">
        <f>VLOOKUP(C20,'Sales Master'!B$3:F$2424,5,0)</f>
        <v>800 GM/ Bag包</v>
      </c>
      <c r="I20" s="513" t="str">
        <f>VLOOKUP(C20,'Sales Master'!B$3:E$2424,4,0)</f>
        <v>DO!</v>
      </c>
      <c r="J20" s="513"/>
      <c r="K20" s="80">
        <f>VLOOKUP(C20,'Sales Master'!$B$3:$P$3035,15,0)</f>
        <v>7</v>
      </c>
      <c r="L20" s="64">
        <f>K20*G20</f>
        <v>21</v>
      </c>
      <c r="M20" s="65"/>
      <c r="N20" s="398"/>
      <c r="O20" s="398"/>
      <c r="P20" s="398"/>
    </row>
    <row r="21" spans="2:16" ht="20.149999999999999" customHeight="1" x14ac:dyDescent="0.45">
      <c r="B21" s="29"/>
      <c r="C21" s="212" t="s">
        <v>804</v>
      </c>
      <c r="D21" s="524" t="str">
        <f>VLOOKUP(C21,'Sales Master'!B$3:D$537,2,)</f>
        <v>Atap Seeds in Syrup 亚嗒子</v>
      </c>
      <c r="E21" s="524"/>
      <c r="F21" s="524"/>
      <c r="G21" s="76">
        <v>1</v>
      </c>
      <c r="H21" s="247" t="str">
        <f>VLOOKUP(C21,'Sales Master'!B$3:F$2424,5,0)</f>
        <v>NW(2.1:0.9) 3kg/ Bag包</v>
      </c>
      <c r="I21" s="513" t="str">
        <f>VLOOKUP(C21,'Sales Master'!B$3:E$2424,4,0)</f>
        <v>DO!</v>
      </c>
      <c r="J21" s="513"/>
      <c r="K21" s="80">
        <f>VLOOKUP(C21,'Sales Master'!$B$3:$P$3035,15,0)</f>
        <v>13.5</v>
      </c>
      <c r="L21" s="64">
        <f t="shared" ref="L21" si="1">K21*G21</f>
        <v>13.5</v>
      </c>
      <c r="M21" s="65"/>
      <c r="N21" s="398"/>
      <c r="O21" s="398"/>
      <c r="P21" s="398"/>
    </row>
    <row r="22" spans="2:16" ht="20.149999999999999" customHeight="1" x14ac:dyDescent="0.45">
      <c r="B22" s="29"/>
      <c r="C22" s="212" t="s">
        <v>717</v>
      </c>
      <c r="D22" s="487" t="str">
        <f>VLOOKUP(C22,'Sales Master'!B$3:D$537,2,)</f>
        <v>Pong Thai Hai (Wet) 碰大海(湿)</v>
      </c>
      <c r="E22" s="487"/>
      <c r="F22" s="487"/>
      <c r="G22" s="76">
        <v>1</v>
      </c>
      <c r="H22" s="247" t="str">
        <f>VLOOKUP(C22,'Sales Master'!B$3:F$2424,5,0)</f>
        <v>1 KG/ Pkt包</v>
      </c>
      <c r="I22" s="513" t="str">
        <f>VLOOKUP(C22,'Sales Master'!B$3:E$2424,4,0)</f>
        <v>DO!</v>
      </c>
      <c r="J22" s="513"/>
      <c r="K22" s="80">
        <f>VLOOKUP(C22,'Sales Master'!$B$3:$P$3035,15,0)</f>
        <v>10</v>
      </c>
      <c r="L22" s="64">
        <f>K22*G22</f>
        <v>10</v>
      </c>
      <c r="M22" s="65"/>
      <c r="N22" s="398"/>
      <c r="O22" s="398"/>
      <c r="P22" s="398"/>
    </row>
    <row r="23" spans="2:16" ht="20.149999999999999" customHeight="1" x14ac:dyDescent="0.45">
      <c r="B23" s="29"/>
      <c r="C23" s="212" t="s">
        <v>812</v>
      </c>
      <c r="D23" s="487" t="str">
        <f>VLOOKUP(C23,'Sales Master'!B$3:D$537,2,)</f>
        <v>Red Bean 红豆 (5.5 mm)</v>
      </c>
      <c r="E23" s="487"/>
      <c r="F23" s="487"/>
      <c r="G23" s="76">
        <v>2</v>
      </c>
      <c r="H23" s="247" t="str">
        <f>VLOOKUP(C23,'Sales Master'!B$3:F$2424,5,0)</f>
        <v>5 KG</v>
      </c>
      <c r="I23" s="513" t="str">
        <f>VLOOKUP(C23,'Sales Master'!B$3:E$2424,4,0)</f>
        <v>-</v>
      </c>
      <c r="J23" s="513"/>
      <c r="K23" s="80">
        <f>VLOOKUP(C23,'Sales Master'!$B$3:$P$3035,15,0)</f>
        <v>19.5</v>
      </c>
      <c r="L23" s="64">
        <f>K23*G23</f>
        <v>39</v>
      </c>
      <c r="M23" s="65"/>
      <c r="N23" s="398"/>
      <c r="O23" s="398"/>
      <c r="P23" s="398"/>
    </row>
    <row r="24" spans="2:16" ht="20.149999999999999" customHeight="1" x14ac:dyDescent="0.45">
      <c r="B24" s="29"/>
      <c r="C24" s="212" t="s">
        <v>825</v>
      </c>
      <c r="D24" s="487" t="str">
        <f>VLOOKUP(C24,'Sales Master'!B$3:D$537,2,)</f>
        <v>Green Bean 绿豆</v>
      </c>
      <c r="E24" s="487"/>
      <c r="F24" s="487"/>
      <c r="G24" s="76">
        <v>1</v>
      </c>
      <c r="H24" s="247" t="str">
        <f>VLOOKUP(C24,'Sales Master'!B$3:F$2424,5,0)</f>
        <v>5 KG</v>
      </c>
      <c r="I24" s="513" t="str">
        <f>VLOOKUP(C24,'Sales Master'!B$3:E$2424,4,0)</f>
        <v>-</v>
      </c>
      <c r="J24" s="513"/>
      <c r="K24" s="80">
        <f>VLOOKUP(C24,'Sales Master'!$B$3:$P$3035,15,0)</f>
        <v>14</v>
      </c>
      <c r="L24" s="64">
        <f>K24*G24</f>
        <v>14</v>
      </c>
      <c r="M24" s="65"/>
      <c r="N24" s="398"/>
      <c r="O24" s="398"/>
      <c r="P24" s="398"/>
    </row>
    <row r="25" spans="2:16" ht="20.149999999999999" customHeight="1" x14ac:dyDescent="0.45">
      <c r="B25" s="29"/>
      <c r="C25" s="212" t="s">
        <v>846</v>
      </c>
      <c r="D25" s="487" t="str">
        <f>VLOOKUP(C25,'Sales Master'!B$3:D$537,2,)</f>
        <v>Pearl Barley 薏米</v>
      </c>
      <c r="E25" s="487"/>
      <c r="F25" s="487"/>
      <c r="G25" s="76">
        <v>1</v>
      </c>
      <c r="H25" s="247" t="str">
        <f>VLOOKUP(C25,'Sales Master'!B$3:F$2424,5,0)</f>
        <v>5 KG</v>
      </c>
      <c r="I25" s="513" t="str">
        <f>VLOOKUP(C25,'Sales Master'!B$3:E$2424,4,0)</f>
        <v>-</v>
      </c>
      <c r="J25" s="513"/>
      <c r="K25" s="80">
        <f>VLOOKUP(C25,'Sales Master'!$B$3:$P$3035,15,0)</f>
        <v>10</v>
      </c>
      <c r="L25" s="64">
        <f t="shared" ref="L25" si="2">K25*G25</f>
        <v>10</v>
      </c>
      <c r="M25" s="65"/>
      <c r="N25" s="398"/>
      <c r="O25" s="398"/>
      <c r="P25" s="398"/>
    </row>
    <row r="26" spans="2:16" ht="20.149999999999999" customHeight="1" x14ac:dyDescent="0.45">
      <c r="B26" s="29"/>
      <c r="C26" s="212" t="s">
        <v>856</v>
      </c>
      <c r="D26" s="487" t="str">
        <f>VLOOKUP(C26,'Sales Master'!B$3:D$537,2,)</f>
        <v>Dried Longan 龙眼干</v>
      </c>
      <c r="E26" s="487"/>
      <c r="F26" s="487"/>
      <c r="G26" s="76">
        <v>1</v>
      </c>
      <c r="H26" s="247" t="str">
        <f>VLOOKUP(C26,'Sales Master'!B$3:F$2424,5,0)</f>
        <v>1 kg/ Pkt包</v>
      </c>
      <c r="I26" s="513" t="str">
        <f>VLOOKUP(C26,'Sales Master'!B$3:E$2424,4,0)</f>
        <v>TL</v>
      </c>
      <c r="J26" s="513"/>
      <c r="K26" s="80">
        <f>VLOOKUP(C26,'Sales Master'!$B$3:$P$3035,15,0)</f>
        <v>13</v>
      </c>
      <c r="L26" s="64">
        <f>K26*G26</f>
        <v>13</v>
      </c>
      <c r="M26" s="65"/>
      <c r="N26" s="398"/>
      <c r="O26" s="398"/>
      <c r="P26" s="398"/>
    </row>
    <row r="27" spans="2:16" ht="20.149999999999999" customHeight="1" x14ac:dyDescent="0.45">
      <c r="B27" s="29"/>
      <c r="C27" s="212" t="s">
        <v>864</v>
      </c>
      <c r="D27" s="487" t="str">
        <f>VLOOKUP(C27,'Sales Master'!B$3:D$537,2,)</f>
        <v>Red Date (Seedless) 红枣(无)</v>
      </c>
      <c r="E27" s="487"/>
      <c r="F27" s="487"/>
      <c r="G27" s="76">
        <v>1</v>
      </c>
      <c r="H27" s="247" t="str">
        <f>VLOOKUP(C27,'Sales Master'!B$3:F$2424,5,0)</f>
        <v>1 kg</v>
      </c>
      <c r="I27" s="513" t="str">
        <f>VLOOKUP(C27,'Sales Master'!B$3:E$2424,4,0)</f>
        <v>-</v>
      </c>
      <c r="J27" s="513"/>
      <c r="K27" s="80">
        <f>VLOOKUP(C27,'Sales Master'!$B$3:$P$3035,15,0)</f>
        <v>5.3</v>
      </c>
      <c r="L27" s="64">
        <f>K27*G27</f>
        <v>5.3</v>
      </c>
      <c r="M27" s="65"/>
      <c r="N27" s="398"/>
      <c r="O27" s="398"/>
      <c r="P27" s="398"/>
    </row>
    <row r="28" spans="2:16" ht="20.149999999999999" customHeight="1" x14ac:dyDescent="0.45">
      <c r="B28" s="29"/>
      <c r="C28" s="212" t="s">
        <v>966</v>
      </c>
      <c r="D28" s="487" t="str">
        <f>VLOOKUP(C28,'Sales Master'!B$3:D$537,2,)</f>
        <v>Coconut Milk 椰浆</v>
      </c>
      <c r="E28" s="487"/>
      <c r="F28" s="487"/>
      <c r="G28" s="76">
        <v>1</v>
      </c>
      <c r="H28" s="247" t="str">
        <f>VLOOKUP(C28,'Sales Master'!B$3:F$2424,5,0)</f>
        <v>(1L x 12bag)/箱</v>
      </c>
      <c r="I28" s="513" t="str">
        <f>VLOOKUP(C28,'Sales Master'!B$3:E$2424,4,0)</f>
        <v>Kara UHT</v>
      </c>
      <c r="J28" s="513"/>
      <c r="K28" s="80">
        <f>VLOOKUP(C28,'Sales Master'!$B$3:$P$3035,15,0)</f>
        <v>55</v>
      </c>
      <c r="L28" s="64">
        <f t="shared" ref="L28" si="3">K28*G28</f>
        <v>55</v>
      </c>
      <c r="M28" s="65"/>
      <c r="N28" s="398"/>
      <c r="O28" s="398"/>
      <c r="P28" s="398"/>
    </row>
    <row r="29" spans="2:16" ht="20.149999999999999" customHeight="1" x14ac:dyDescent="0.45">
      <c r="B29" s="29"/>
      <c r="C29" s="212" t="s">
        <v>990</v>
      </c>
      <c r="D29" s="487" t="str">
        <f>VLOOKUP(C29,'Sales Master'!B$3:D$537,2,)</f>
        <v>Fine Sugar 白糖</v>
      </c>
      <c r="E29" s="487"/>
      <c r="F29" s="487"/>
      <c r="G29" s="76">
        <v>1</v>
      </c>
      <c r="H29" s="247" t="str">
        <f>VLOOKUP(C29,'Sales Master'!B$3:F$2424,5,0)</f>
        <v>25 KGS</v>
      </c>
      <c r="I29" s="513" t="str">
        <f>VLOOKUP(C29,'Sales Master'!B$3:E$2424,4,0)</f>
        <v>MITR PHOL/ 蜜朋</v>
      </c>
      <c r="J29" s="513"/>
      <c r="K29" s="80">
        <f>VLOOKUP(C29,'Sales Master'!$B$3:$P$3035,15,0)</f>
        <v>31.5</v>
      </c>
      <c r="L29" s="64">
        <f>K29*G29</f>
        <v>31.5</v>
      </c>
      <c r="M29" s="65"/>
      <c r="N29" s="398"/>
      <c r="O29" s="398"/>
      <c r="P29" s="398"/>
    </row>
    <row r="30" spans="2:16" ht="20.149999999999999" customHeight="1" x14ac:dyDescent="0.45">
      <c r="B30" s="29"/>
      <c r="C30" s="212"/>
      <c r="D30" s="487"/>
      <c r="E30" s="487"/>
      <c r="F30" s="487"/>
      <c r="G30" s="76"/>
      <c r="H30" s="247"/>
      <c r="I30" s="513"/>
      <c r="J30" s="513"/>
      <c r="K30" s="80"/>
      <c r="L30" s="64"/>
      <c r="M30" s="65"/>
      <c r="N30" s="398"/>
      <c r="O30" s="398"/>
      <c r="P30" s="398"/>
    </row>
    <row r="31" spans="2:16" ht="20.149999999999999" customHeight="1" x14ac:dyDescent="0.45">
      <c r="B31" s="29"/>
      <c r="C31" s="212"/>
      <c r="D31" s="487"/>
      <c r="E31" s="487"/>
      <c r="F31" s="487"/>
      <c r="G31" s="76"/>
      <c r="H31" s="247"/>
      <c r="I31" s="513"/>
      <c r="J31" s="513"/>
      <c r="K31" s="80"/>
      <c r="L31" s="64"/>
      <c r="M31" s="65"/>
      <c r="N31" s="398"/>
      <c r="O31" s="398"/>
      <c r="P31" s="398"/>
    </row>
    <row r="32" spans="2:16" ht="20.149999999999999" customHeight="1" x14ac:dyDescent="0.45">
      <c r="B32" s="29"/>
      <c r="C32" s="149" t="s">
        <v>2296</v>
      </c>
      <c r="D32" s="403"/>
      <c r="E32" s="403"/>
      <c r="F32" s="403"/>
      <c r="G32" s="76"/>
      <c r="H32" s="186"/>
      <c r="I32" s="484"/>
      <c r="J32" s="484"/>
      <c r="K32" s="190"/>
      <c r="L32" s="64"/>
      <c r="M32" s="65"/>
      <c r="N32" s="398"/>
      <c r="O32" s="398"/>
      <c r="P32" s="398"/>
    </row>
    <row r="33" spans="2:16" ht="20.149999999999999" customHeight="1" x14ac:dyDescent="0.45">
      <c r="B33" s="29"/>
      <c r="C33" s="212" t="s">
        <v>717</v>
      </c>
      <c r="D33" s="556" t="str">
        <f>VLOOKUP(C33,'Sales Master'!B$3:D$537,2,)</f>
        <v>Pong Thai Hai (Wet) 碰大海(湿)</v>
      </c>
      <c r="E33" s="556"/>
      <c r="F33" s="556"/>
      <c r="G33" s="17">
        <v>1</v>
      </c>
      <c r="H33" s="186" t="str">
        <f>VLOOKUP(C33,'Sales Master'!$B$3:$F$2420,5,0)</f>
        <v>1 KG/ Pkt包</v>
      </c>
      <c r="I33" s="484" t="str">
        <f>VLOOKUP(C33,'Sales Master'!$B$3:$E$2420,4,0)</f>
        <v>DO!</v>
      </c>
      <c r="J33" s="484"/>
      <c r="K33" s="184">
        <v>12</v>
      </c>
      <c r="L33" s="64"/>
      <c r="M33" s="65"/>
      <c r="N33" s="398"/>
      <c r="O33" s="398"/>
      <c r="P33" s="398"/>
    </row>
    <row r="34" spans="2:16" ht="20.149999999999999" customHeight="1" x14ac:dyDescent="0.45">
      <c r="B34" s="29"/>
      <c r="C34" s="212" t="s">
        <v>745</v>
      </c>
      <c r="D34" s="519" t="str">
        <f>VLOOKUP(C34,'Sales Master'!B$3:D$537,2,)</f>
        <v>Jelly Powder 文头雪粉 (Carrageenan)</v>
      </c>
      <c r="E34" s="519"/>
      <c r="F34" s="519"/>
      <c r="G34" s="17">
        <v>1</v>
      </c>
      <c r="H34" s="186" t="str">
        <f>VLOOKUP(C34,'Sales Master'!$B$3:$F$2420,5,0)</f>
        <v>42gm x 10PKT/Bag</v>
      </c>
      <c r="I34" s="484" t="str">
        <f>VLOOKUP(C34,'Sales Master'!$B$3:$E$2420,4,0)</f>
        <v>500/4000</v>
      </c>
      <c r="J34" s="484"/>
      <c r="K34" s="190">
        <v>28</v>
      </c>
      <c r="L34" s="64"/>
      <c r="M34" s="65"/>
      <c r="N34" s="398"/>
      <c r="O34" s="398"/>
      <c r="P34" s="398"/>
    </row>
    <row r="35" spans="2:16" ht="20.149999999999999" customHeight="1" x14ac:dyDescent="0.45">
      <c r="B35" s="29"/>
      <c r="C35" s="212" t="s">
        <v>749</v>
      </c>
      <c r="D35" s="487" t="str">
        <f>VLOOKUP(C35,'Sales Master'!B$3:D$537,2,)</f>
        <v>Agar Powder 菜燕粉</v>
      </c>
      <c r="E35" s="487"/>
      <c r="F35" s="487"/>
      <c r="G35" s="17">
        <v>1</v>
      </c>
      <c r="H35" s="186" t="str">
        <f>VLOOKUP(C35,'Sales Master'!$B$3:$F$2420,5,0)</f>
        <v>43 gms x 10PKT/Bag</v>
      </c>
      <c r="I35" s="484" t="str">
        <f>VLOOKUP(C35,'Sales Master'!$B$3:$E$2420,4,0)</f>
        <v>No 1</v>
      </c>
      <c r="J35" s="484"/>
      <c r="K35" s="184">
        <v>32</v>
      </c>
      <c r="L35" s="64"/>
      <c r="M35" s="65"/>
      <c r="N35" s="398"/>
      <c r="O35" s="398"/>
      <c r="P35" s="398"/>
    </row>
    <row r="36" spans="2:16" ht="20.149999999999999" customHeight="1" x14ac:dyDescent="0.45">
      <c r="B36" s="29"/>
      <c r="C36" s="212" t="s">
        <v>775</v>
      </c>
      <c r="D36" s="498" t="str">
        <f>VLOOKUP(C36,'Sales Master'!B$3:D$537,2,)</f>
        <v>Sweet Potato Powder 番薯粉</v>
      </c>
      <c r="E36" s="498"/>
      <c r="F36" s="498"/>
      <c r="G36" s="17">
        <v>1</v>
      </c>
      <c r="H36" s="186" t="str">
        <f>VLOOKUP(C36,'Sales Master'!$B$3:$F$2420,5,0)</f>
        <v>3 kgs</v>
      </c>
      <c r="I36" s="484" t="str">
        <f>VLOOKUP(C36,'Sales Master'!$B$3:$E$2420,4,0)</f>
        <v>RE-PACK</v>
      </c>
      <c r="J36" s="484"/>
      <c r="K36" s="184">
        <v>11</v>
      </c>
      <c r="L36" s="64"/>
      <c r="M36" s="65"/>
      <c r="N36" s="398"/>
      <c r="O36" s="398"/>
      <c r="P36" s="398"/>
    </row>
    <row r="37" spans="2:16" ht="20.149999999999999" customHeight="1" x14ac:dyDescent="0.45">
      <c r="B37" s="29"/>
      <c r="C37" s="212" t="s">
        <v>841</v>
      </c>
      <c r="D37" s="487" t="str">
        <f>VLOOKUP(C37,'Sales Master'!B$3:D$537,2,)</f>
        <v>White Glutinous Rice 白糯米</v>
      </c>
      <c r="E37" s="487"/>
      <c r="F37" s="487"/>
      <c r="G37" s="17">
        <v>1</v>
      </c>
      <c r="H37" s="186" t="str">
        <f>VLOOKUP(C37,'Sales Master'!$B$3:$F$2420,5,0)</f>
        <v>5 KG</v>
      </c>
      <c r="I37" s="484" t="str">
        <f>VLOOKUP(C37,'Sales Master'!$B$3:$E$2420,4,0)</f>
        <v>-</v>
      </c>
      <c r="J37" s="484"/>
      <c r="K37" s="184">
        <v>11</v>
      </c>
      <c r="L37" s="64"/>
      <c r="M37" s="65"/>
      <c r="N37" s="398"/>
      <c r="O37" s="398"/>
      <c r="P37" s="398"/>
    </row>
    <row r="38" spans="2:16" ht="20.149999999999999" customHeight="1" x14ac:dyDescent="0.45">
      <c r="B38" s="29"/>
      <c r="C38" s="212" t="s">
        <v>844</v>
      </c>
      <c r="D38" s="493" t="str">
        <f>VLOOKUP(C38,'Sales Master'!B$3:D$537,2,)</f>
        <v>White Wheat 大麦</v>
      </c>
      <c r="E38" s="493"/>
      <c r="F38" s="493"/>
      <c r="G38" s="17">
        <v>1</v>
      </c>
      <c r="H38" s="186" t="str">
        <f>VLOOKUP(C38,'Sales Master'!$B$3:$F$2420,5,0)</f>
        <v>10 PKT/ Bag</v>
      </c>
      <c r="I38" s="484" t="str">
        <f>VLOOKUP(C38,'Sales Master'!$B$3:$E$2420,4,0)</f>
        <v>-</v>
      </c>
      <c r="J38" s="484"/>
      <c r="K38" s="190">
        <v>11</v>
      </c>
      <c r="L38" s="64"/>
      <c r="M38" s="65"/>
      <c r="N38" s="398"/>
      <c r="O38" s="398"/>
      <c r="P38" s="398"/>
    </row>
    <row r="39" spans="2:16" ht="20.149999999999999" customHeight="1" x14ac:dyDescent="0.45">
      <c r="B39" s="29"/>
      <c r="C39" s="212" t="s">
        <v>849</v>
      </c>
      <c r="D39" s="487" t="str">
        <f>VLOOKUP(C39,'Sales Master'!B$3:D$537,2,)</f>
        <v>Big Sago 大丸</v>
      </c>
      <c r="E39" s="487"/>
      <c r="F39" s="487"/>
      <c r="G39" s="17">
        <v>1</v>
      </c>
      <c r="H39" s="186" t="str">
        <f>VLOOKUP(C39,'Sales Master'!$B$3:$F$2420,5,0)</f>
        <v>5 KG</v>
      </c>
      <c r="I39" s="484" t="str">
        <f>VLOOKUP(C39,'Sales Master'!$B$3:$E$2420,4,0)</f>
        <v>-</v>
      </c>
      <c r="J39" s="484"/>
      <c r="K39" s="184">
        <v>12</v>
      </c>
      <c r="L39" s="64"/>
      <c r="M39" s="65"/>
      <c r="N39" s="398"/>
      <c r="O39" s="398"/>
      <c r="P39" s="398"/>
    </row>
    <row r="40" spans="2:16" ht="20.149999999999999" customHeight="1" x14ac:dyDescent="0.45">
      <c r="B40" s="29"/>
      <c r="C40" s="212" t="s">
        <v>936</v>
      </c>
      <c r="D40" s="487" t="str">
        <f>VLOOKUP(C40,'Sales Master'!B$3:D$537,2,)</f>
        <v>Lychee in Syrup 荔枝</v>
      </c>
      <c r="E40" s="487"/>
      <c r="F40" s="487"/>
      <c r="G40" s="17">
        <v>1</v>
      </c>
      <c r="H40" s="186" t="str">
        <f>VLOOKUP(C40,'Sales Master'!$B$3:$F$2420,5,0)</f>
        <v>12can/箱</v>
      </c>
      <c r="I40" s="484" t="str">
        <f>VLOOKUP(C40,'Sales Master'!$B$3:$E$2420,4,0)</f>
        <v>MiLi</v>
      </c>
      <c r="J40" s="484"/>
      <c r="K40" s="184">
        <v>26.5</v>
      </c>
      <c r="L40" s="64"/>
      <c r="M40" s="65"/>
      <c r="N40" s="398"/>
      <c r="O40" s="398"/>
      <c r="P40" s="398"/>
    </row>
    <row r="41" spans="2:16" ht="20.149999999999999" customHeight="1" thickBot="1" x14ac:dyDescent="0.5">
      <c r="B41" s="32"/>
      <c r="C41" s="48"/>
      <c r="D41" s="48"/>
      <c r="E41" s="48"/>
      <c r="F41" s="48"/>
      <c r="G41" s="113"/>
      <c r="H41" s="57"/>
      <c r="I41" s="90"/>
      <c r="J41" s="90"/>
      <c r="K41" s="157"/>
      <c r="L41" s="75"/>
    </row>
    <row r="42" spans="2:16" ht="20.149999999999999" customHeight="1" thickBot="1" x14ac:dyDescent="0.5">
      <c r="B42" s="29"/>
      <c r="C42" s="17"/>
      <c r="G42" s="17"/>
      <c r="H42" s="56"/>
      <c r="I42" s="56"/>
      <c r="J42" s="56"/>
      <c r="K42" s="80"/>
      <c r="L42" s="64"/>
    </row>
    <row r="43" spans="2:16" ht="20.149999999999999" customHeight="1" x14ac:dyDescent="0.45">
      <c r="B43" s="10" t="s">
        <v>16</v>
      </c>
      <c r="C43" s="6"/>
      <c r="D43" s="6"/>
      <c r="E43" s="6"/>
      <c r="F43" s="6"/>
      <c r="G43" s="6"/>
      <c r="H43" s="6"/>
      <c r="I43" s="6"/>
      <c r="J43" s="489" t="s">
        <v>13</v>
      </c>
      <c r="K43" s="490"/>
      <c r="L43" s="38">
        <f>SUM(L18:L42)</f>
        <v>255.3</v>
      </c>
      <c r="M43" s="63"/>
      <c r="N43" s="133"/>
    </row>
    <row r="44" spans="2:16" ht="20.149999999999999" customHeight="1" x14ac:dyDescent="0.45">
      <c r="B44" s="10" t="s">
        <v>17</v>
      </c>
      <c r="C44" s="6"/>
      <c r="D44" s="6"/>
      <c r="E44" s="6"/>
      <c r="F44" s="6"/>
      <c r="G44" s="6"/>
      <c r="H44" s="6"/>
      <c r="I44" s="6"/>
      <c r="J44" s="39" t="s">
        <v>20</v>
      </c>
      <c r="K44" s="40"/>
      <c r="L44" s="41">
        <f>L43*K44</f>
        <v>0</v>
      </c>
    </row>
    <row r="45" spans="2:16" ht="20.149999999999999" customHeight="1" x14ac:dyDescent="0.45">
      <c r="B45" s="10" t="s">
        <v>18</v>
      </c>
      <c r="C45" s="6"/>
      <c r="D45" s="6"/>
      <c r="E45" s="6"/>
      <c r="F45" s="6"/>
      <c r="G45" s="6"/>
      <c r="H45" s="6"/>
      <c r="I45" s="6"/>
      <c r="J45" s="491" t="s">
        <v>19</v>
      </c>
      <c r="K45" s="492"/>
      <c r="L45" s="41">
        <f>L43-L44</f>
        <v>255.3</v>
      </c>
    </row>
    <row r="46" spans="2:16" ht="20.149999999999999" customHeight="1" x14ac:dyDescent="0.45">
      <c r="B46" s="10" t="s">
        <v>22</v>
      </c>
      <c r="C46" s="6"/>
      <c r="D46" s="6"/>
      <c r="E46" s="6"/>
      <c r="F46" s="6"/>
      <c r="G46" s="6"/>
      <c r="H46" s="6"/>
      <c r="I46" s="6"/>
      <c r="J46" s="102" t="s">
        <v>15</v>
      </c>
      <c r="K46" s="103">
        <f>'Sales Master'!$B$1</f>
        <v>0.09</v>
      </c>
      <c r="L46" s="42">
        <f>L45*K46</f>
        <v>22.977</v>
      </c>
    </row>
    <row r="47" spans="2:16" ht="20.149999999999999" customHeight="1" thickBot="1" x14ac:dyDescent="0.5">
      <c r="B47" s="10" t="s">
        <v>23</v>
      </c>
      <c r="C47" s="6"/>
      <c r="D47" s="6"/>
      <c r="E47" s="6"/>
      <c r="F47" s="6"/>
      <c r="G47" s="6"/>
      <c r="H47" s="6"/>
      <c r="I47" s="6"/>
      <c r="J47" s="485" t="s">
        <v>21</v>
      </c>
      <c r="K47" s="486"/>
      <c r="L47" s="43">
        <f>L45+L46</f>
        <v>278.27699999999999</v>
      </c>
    </row>
    <row r="48" spans="2:16" ht="20.149999999999999" customHeight="1" x14ac:dyDescent="0.45">
      <c r="B48" s="10" t="s">
        <v>24</v>
      </c>
      <c r="C48" s="6"/>
      <c r="D48" s="6"/>
      <c r="E48" s="6"/>
      <c r="F48" s="6"/>
      <c r="G48" s="6"/>
      <c r="H48" s="6"/>
      <c r="I48" s="6"/>
      <c r="L48" s="37"/>
    </row>
    <row r="49" spans="2:12" ht="20.149999999999999" customHeight="1" x14ac:dyDescent="0.45">
      <c r="B49" s="36"/>
      <c r="L49" s="37"/>
    </row>
    <row r="50" spans="2:12" ht="20.149999999999999" customHeight="1" x14ac:dyDescent="0.45">
      <c r="B50" s="36"/>
      <c r="L50" s="37"/>
    </row>
    <row r="51" spans="2:12" ht="20.149999999999999" customHeight="1" x14ac:dyDescent="0.45">
      <c r="B51" s="44"/>
      <c r="C51" s="45"/>
      <c r="D51" s="45"/>
      <c r="J51" s="45"/>
      <c r="K51" s="45"/>
      <c r="L51" s="46"/>
    </row>
    <row r="52" spans="2:12" ht="20.149999999999999" customHeight="1" x14ac:dyDescent="0.45">
      <c r="B52" s="36" t="s">
        <v>25</v>
      </c>
      <c r="J52" s="19" t="s">
        <v>26</v>
      </c>
      <c r="L52" s="37"/>
    </row>
    <row r="53" spans="2:12" ht="10" customHeight="1" thickBot="1" x14ac:dyDescent="0.5">
      <c r="B53" s="47"/>
      <c r="C53" s="48"/>
      <c r="D53" s="48"/>
      <c r="E53" s="48"/>
      <c r="F53" s="48"/>
      <c r="G53" s="48"/>
      <c r="H53" s="48"/>
      <c r="I53" s="48"/>
      <c r="J53" s="48"/>
      <c r="K53" s="48"/>
      <c r="L53" s="49"/>
    </row>
    <row r="54" spans="2:12" ht="20.5" x14ac:dyDescent="0.45">
      <c r="F54" s="202"/>
    </row>
  </sheetData>
  <mergeCells count="62">
    <mergeCell ref="D33:F33"/>
    <mergeCell ref="I33:J33"/>
    <mergeCell ref="D38:F38"/>
    <mergeCell ref="I38:J38"/>
    <mergeCell ref="D39:F39"/>
    <mergeCell ref="I39:J39"/>
    <mergeCell ref="I17:J17"/>
    <mergeCell ref="D40:F40"/>
    <mergeCell ref="I40:J40"/>
    <mergeCell ref="I19:J19"/>
    <mergeCell ref="D18:F18"/>
    <mergeCell ref="D17:F17"/>
    <mergeCell ref="D19:F19"/>
    <mergeCell ref="I36:J36"/>
    <mergeCell ref="D20:F20"/>
    <mergeCell ref="I20:J20"/>
    <mergeCell ref="I32:J32"/>
    <mergeCell ref="D22:F22"/>
    <mergeCell ref="I23:J23"/>
    <mergeCell ref="I22:J22"/>
    <mergeCell ref="I26:J26"/>
    <mergeCell ref="I28:J2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8:F28"/>
    <mergeCell ref="I27:J27"/>
    <mergeCell ref="D26:F26"/>
    <mergeCell ref="D23:F23"/>
    <mergeCell ref="D25:F25"/>
    <mergeCell ref="D24:F24"/>
    <mergeCell ref="D27:F27"/>
    <mergeCell ref="I25:J25"/>
    <mergeCell ref="I21:J21"/>
    <mergeCell ref="D21:F21"/>
    <mergeCell ref="I24:J24"/>
    <mergeCell ref="D30:F30"/>
    <mergeCell ref="I30:J30"/>
    <mergeCell ref="D29:F29"/>
    <mergeCell ref="J47:K47"/>
    <mergeCell ref="J43:K43"/>
    <mergeCell ref="J45:K45"/>
    <mergeCell ref="D31:F31"/>
    <mergeCell ref="I31:J31"/>
    <mergeCell ref="I29:J29"/>
    <mergeCell ref="D37:F37"/>
    <mergeCell ref="I37:J37"/>
    <mergeCell ref="D34:F34"/>
    <mergeCell ref="I34:J34"/>
    <mergeCell ref="D35:F35"/>
    <mergeCell ref="I35:J35"/>
    <mergeCell ref="D36:F36"/>
  </mergeCells>
  <conditionalFormatting sqref="C27 C21">
    <cfRule type="duplicateValues" dxfId="210" priority="2726"/>
  </conditionalFormatting>
  <conditionalFormatting sqref="C32">
    <cfRule type="duplicateValues" dxfId="209" priority="1"/>
  </conditionalFormatting>
  <pageMargins left="0.74803149606299213" right="0" top="0.23622047244094491" bottom="0.31496062992125984" header="0" footer="0"/>
  <pageSetup paperSize="9" scale="77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CF8DF-319A-4C5D-AE53-A3216123EA22}">
  <sheetPr codeName="Sheet119">
    <tabColor rgb="FFFFC000"/>
    <pageSetUpPr fitToPage="1"/>
  </sheetPr>
  <dimension ref="B1:AM328"/>
  <sheetViews>
    <sheetView topLeftCell="A20" zoomScaleNormal="100" workbookViewId="0">
      <selection activeCell="F29" sqref="F29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6.45312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5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5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5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5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5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5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5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174</v>
      </c>
      <c r="J10" s="24" t="s">
        <v>27</v>
      </c>
      <c r="K10" s="464">
        <v>202501001</v>
      </c>
      <c r="L10" s="465"/>
    </row>
    <row r="11" spans="2:15" ht="20.149999999999999" customHeight="1" x14ac:dyDescent="0.45">
      <c r="B11" s="466" t="s">
        <v>1896</v>
      </c>
      <c r="C11" s="467"/>
      <c r="D11" s="468"/>
      <c r="E11" s="25"/>
      <c r="F11" s="469" t="str">
        <f>VLOOKUP(H10,'Delivery Location'!A$4:N$466,2,0)</f>
        <v>YKGI FOODCOURT MANAGEMENT PL            1, Stadium Place #02-16/K6. Sports Hub Retail Mall. Singapore 397628</v>
      </c>
      <c r="G11" s="470"/>
      <c r="H11" s="471"/>
      <c r="J11" s="26" t="s">
        <v>9</v>
      </c>
      <c r="K11" s="478">
        <v>45658</v>
      </c>
      <c r="L11" s="479"/>
    </row>
    <row r="12" spans="2:15" ht="20.149999999999999" customHeight="1" x14ac:dyDescent="0.45">
      <c r="B12" s="480" t="s">
        <v>355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5" ht="20.149999999999999" customHeight="1" x14ac:dyDescent="0.45">
      <c r="B13" s="480" t="s">
        <v>356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5" ht="20.149999999999999" customHeight="1" x14ac:dyDescent="0.45">
      <c r="B14" s="480" t="s">
        <v>357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5" ht="18" customHeight="1" thickBot="1" x14ac:dyDescent="0.5">
      <c r="B15" s="61" t="s">
        <v>358</v>
      </c>
      <c r="C15" s="51"/>
      <c r="D15" s="52"/>
      <c r="E15" s="21"/>
      <c r="F15" s="475"/>
      <c r="G15" s="476"/>
      <c r="H15" s="477"/>
      <c r="J15" s="27" t="s">
        <v>11</v>
      </c>
      <c r="K15" s="495"/>
      <c r="L15" s="496"/>
      <c r="N15" s="19" t="s">
        <v>885</v>
      </c>
      <c r="O15" s="19" t="s">
        <v>211</v>
      </c>
    </row>
    <row r="16" spans="2:15" ht="19" thickBot="1" x14ac:dyDescent="0.5">
      <c r="J16" s="17"/>
    </row>
    <row r="17" spans="2:2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53</v>
      </c>
      <c r="I17" s="460" t="s">
        <v>29</v>
      </c>
      <c r="J17" s="462"/>
      <c r="K17" s="8" t="s">
        <v>5</v>
      </c>
      <c r="L17" s="9" t="s">
        <v>6</v>
      </c>
      <c r="M17" s="28"/>
    </row>
    <row r="18" spans="2:23" ht="20.149999999999999" customHeight="1" x14ac:dyDescent="0.45">
      <c r="B18" s="29"/>
      <c r="C18" s="212" t="s">
        <v>2167</v>
      </c>
      <c r="D18" s="487" t="str">
        <f>VLOOKUP(C18,'Sales Master'!B$3:D$537,2,)</f>
        <v>Coconut Sugar Syrup 椰糖浆</v>
      </c>
      <c r="E18" s="487"/>
      <c r="F18" s="487"/>
      <c r="G18" s="76">
        <v>2</v>
      </c>
      <c r="H18" s="186" t="str">
        <f>VLOOKUP(C18,'Sales Master'!$B$3:$E$537,4,0)</f>
        <v>DO!</v>
      </c>
      <c r="I18" s="484" t="str">
        <f>VLOOKUP(C18,'Sales Master'!$B$3:F$537,5,0)</f>
        <v>GW: 5 KG/ Btl支</v>
      </c>
      <c r="J18" s="484"/>
      <c r="K18" s="83">
        <f>VLOOKUP(C18,'Sales Master'!B$3:Q$537,16,0)</f>
        <v>0</v>
      </c>
      <c r="L18" s="64">
        <f t="shared" ref="L18" si="0">K18*G18</f>
        <v>0</v>
      </c>
      <c r="M18" s="65"/>
      <c r="R18" s="19">
        <v>2</v>
      </c>
      <c r="S18" s="19" t="s">
        <v>34</v>
      </c>
      <c r="T18" s="19" t="s">
        <v>59</v>
      </c>
      <c r="V18" s="19">
        <v>6</v>
      </c>
      <c r="W18" s="19">
        <v>12</v>
      </c>
    </row>
    <row r="19" spans="2:23" ht="20.149999999999999" customHeight="1" x14ac:dyDescent="0.45">
      <c r="B19" s="29"/>
      <c r="C19" s="212" t="s">
        <v>825</v>
      </c>
      <c r="D19" s="487" t="str">
        <f>VLOOKUP(C19,'Sales Master'!B$3:D$537,2,)</f>
        <v>Green Bean 绿豆</v>
      </c>
      <c r="E19" s="487"/>
      <c r="F19" s="487"/>
      <c r="G19" s="76">
        <v>1</v>
      </c>
      <c r="H19" s="186" t="str">
        <f>VLOOKUP(C19,'Sales Master'!$B$3:$E$537,4,0)</f>
        <v>-</v>
      </c>
      <c r="I19" s="499" t="str">
        <f>VLOOKUP(C19,'Sales Master'!$B$3:F$537,5,0)</f>
        <v>5 KG</v>
      </c>
      <c r="J19" s="499"/>
      <c r="K19" s="83">
        <f>VLOOKUP(C19,'Sales Master'!B$3:Q$537,16,0)</f>
        <v>14</v>
      </c>
      <c r="L19" s="64">
        <f t="shared" ref="L19" si="1">K19*G19</f>
        <v>14</v>
      </c>
      <c r="M19" s="65"/>
    </row>
    <row r="20" spans="2:23" ht="20.149999999999999" customHeight="1" x14ac:dyDescent="0.45">
      <c r="B20" s="29"/>
      <c r="C20" s="212" t="s">
        <v>837</v>
      </c>
      <c r="D20" s="487" t="str">
        <f>VLOOKUP(C20,'Sales Master'!B$3:D$537,2,)</f>
        <v>Black Glutinous Rice 黑糯米</v>
      </c>
      <c r="E20" s="487"/>
      <c r="F20" s="487"/>
      <c r="G20" s="76">
        <v>1</v>
      </c>
      <c r="H20" s="186" t="str">
        <f>VLOOKUP(C20,'Sales Master'!$B$3:$E$537,4,0)</f>
        <v>-</v>
      </c>
      <c r="I20" s="499" t="str">
        <f>VLOOKUP(C20,'Sales Master'!$B$3:F$537,5,0)</f>
        <v>5 KGS</v>
      </c>
      <c r="J20" s="499"/>
      <c r="K20" s="83">
        <f>VLOOKUP(C20,'Sales Master'!B$3:Q$537,16,0)</f>
        <v>18</v>
      </c>
      <c r="L20" s="64">
        <f t="shared" ref="L20" si="2">K20*G20</f>
        <v>18</v>
      </c>
      <c r="M20" s="65"/>
    </row>
    <row r="21" spans="2:23" ht="20.149999999999999" customHeight="1" x14ac:dyDescent="0.45">
      <c r="B21" s="29"/>
      <c r="C21" s="212" t="s">
        <v>846</v>
      </c>
      <c r="D21" s="487" t="str">
        <f>VLOOKUP(C21,'Sales Master'!B$3:D$537,2,)</f>
        <v>Pearl Barley 薏米</v>
      </c>
      <c r="E21" s="487"/>
      <c r="F21" s="487"/>
      <c r="G21" s="76">
        <v>1</v>
      </c>
      <c r="H21" s="186" t="str">
        <f>VLOOKUP(C21,'Sales Master'!$B$3:$E$537,4,0)</f>
        <v>-</v>
      </c>
      <c r="I21" s="499" t="str">
        <f>VLOOKUP(C21,'Sales Master'!$B$3:F$537,5,0)</f>
        <v>5 KG</v>
      </c>
      <c r="J21" s="499"/>
      <c r="K21" s="83">
        <f>VLOOKUP(C21,'Sales Master'!B$3:Q$537,16,0)</f>
        <v>10</v>
      </c>
      <c r="L21" s="64">
        <f>K21*G21</f>
        <v>10</v>
      </c>
      <c r="M21" s="65"/>
    </row>
    <row r="22" spans="2:23" ht="20.149999999999999" customHeight="1" x14ac:dyDescent="0.45">
      <c r="B22" s="29"/>
      <c r="C22" s="212" t="s">
        <v>853</v>
      </c>
      <c r="D22" s="487" t="str">
        <f>VLOOKUP(C22,'Sales Master'!B$3:D$537,2,)</f>
        <v>Small Sago 小丸</v>
      </c>
      <c r="E22" s="487"/>
      <c r="F22" s="487"/>
      <c r="G22" s="76">
        <v>1</v>
      </c>
      <c r="H22" s="186" t="str">
        <f>VLOOKUP(C22,'Sales Master'!$B$3:$E$537,4,0)</f>
        <v>-</v>
      </c>
      <c r="I22" s="499" t="str">
        <f>VLOOKUP(C22,'Sales Master'!$B$3:F$537,5,0)</f>
        <v>5 KG</v>
      </c>
      <c r="J22" s="499"/>
      <c r="K22" s="83">
        <f>VLOOKUP(C22,'Sales Master'!B$3:Q$537,16,0)</f>
        <v>11</v>
      </c>
      <c r="L22" s="64">
        <f>K22*G22</f>
        <v>11</v>
      </c>
      <c r="M22" s="65"/>
    </row>
    <row r="23" spans="2:23" ht="20.149999999999999" customHeight="1" x14ac:dyDescent="0.45">
      <c r="B23" s="29"/>
      <c r="C23" s="212" t="s">
        <v>956</v>
      </c>
      <c r="D23" s="487" t="str">
        <f>VLOOKUP(C23,'Sales Master'!B$3:D$537,2,)</f>
        <v>GingKo Nut 白果罐</v>
      </c>
      <c r="E23" s="487"/>
      <c r="F23" s="487"/>
      <c r="G23" s="76">
        <v>1</v>
      </c>
      <c r="H23" s="186" t="str">
        <f>VLOOKUP(C23,'Sales Master'!$B$3:$E$537,4,0)</f>
        <v>Golden Champ</v>
      </c>
      <c r="I23" s="499" t="str">
        <f>VLOOKUP(C23,'Sales Master'!$B$3:F$537,5,0)</f>
        <v>397 GM x 24/ Ctn箱</v>
      </c>
      <c r="J23" s="499"/>
      <c r="K23" s="83">
        <f>VLOOKUP(C23,'Sales Master'!B$3:Q$537,16,0)</f>
        <v>32</v>
      </c>
      <c r="L23" s="64">
        <f>K23*G23</f>
        <v>32</v>
      </c>
      <c r="M23" s="65"/>
    </row>
    <row r="24" spans="2:23" ht="20.149999999999999" customHeight="1" x14ac:dyDescent="0.45">
      <c r="B24" s="29"/>
      <c r="C24" s="212" t="s">
        <v>966</v>
      </c>
      <c r="D24" s="487" t="str">
        <f>VLOOKUP(C24,'Sales Master'!B$3:D$537,2,)</f>
        <v>Coconut Milk 椰浆</v>
      </c>
      <c r="E24" s="487"/>
      <c r="F24" s="487"/>
      <c r="G24" s="76">
        <v>1</v>
      </c>
      <c r="H24" s="186" t="str">
        <f>VLOOKUP(C24,'Sales Master'!$B$3:$E$537,4,0)</f>
        <v>Kara UHT</v>
      </c>
      <c r="I24" s="499" t="str">
        <f>VLOOKUP(C24,'Sales Master'!$B$3:F$537,5,0)</f>
        <v>(1L x 12bag)/箱</v>
      </c>
      <c r="J24" s="499"/>
      <c r="K24" s="83">
        <f>VLOOKUP(C24,'Sales Master'!B$3:Q$537,16,0)</f>
        <v>55</v>
      </c>
      <c r="L24" s="64">
        <f>K24*G24</f>
        <v>55</v>
      </c>
      <c r="M24" s="65"/>
    </row>
    <row r="25" spans="2:23" ht="20.149999999999999" customHeight="1" x14ac:dyDescent="0.45">
      <c r="B25" s="29"/>
      <c r="C25" s="212" t="s">
        <v>985</v>
      </c>
      <c r="D25" s="487" t="str">
        <f>VLOOKUP(C25,'Sales Master'!B$3:D$537,2,)</f>
        <v>Rock Sugar 冰糖</v>
      </c>
      <c r="E25" s="487"/>
      <c r="F25" s="487"/>
      <c r="G25" s="76">
        <v>1</v>
      </c>
      <c r="H25" s="186" t="str">
        <f>VLOOKUP(C25,'Sales Master'!$B$3:$E$537,4,0)</f>
        <v>Star</v>
      </c>
      <c r="I25" s="499" t="str">
        <f>VLOOKUP(C25,'Sales Master'!$B$3:F$537,5,0)</f>
        <v>3 KG</v>
      </c>
      <c r="J25" s="499"/>
      <c r="K25" s="83">
        <f>VLOOKUP(C25,'Sales Master'!B$3:Q$537,16,0)</f>
        <v>7</v>
      </c>
      <c r="L25" s="64">
        <f t="shared" ref="L25" si="3">K25*G25</f>
        <v>7</v>
      </c>
      <c r="M25" s="65"/>
    </row>
    <row r="26" spans="2:23" ht="20.149999999999999" customHeight="1" x14ac:dyDescent="0.45">
      <c r="B26" s="29"/>
      <c r="C26" s="212" t="s">
        <v>987</v>
      </c>
      <c r="D26" s="487" t="str">
        <f>VLOOKUP(C26,'Sales Master'!B$3:D$537,2,)</f>
        <v>Brown Sugar 黑糖</v>
      </c>
      <c r="E26" s="487"/>
      <c r="F26" s="487"/>
      <c r="G26" s="76">
        <v>1</v>
      </c>
      <c r="H26" s="186" t="str">
        <f>VLOOKUP(C26,'Sales Master'!$B$3:$E$537,4,0)</f>
        <v>Star</v>
      </c>
      <c r="I26" s="499" t="str">
        <f>VLOOKUP(C26,'Sales Master'!$B$3:F$537,5,0)</f>
        <v>6 KG</v>
      </c>
      <c r="J26" s="499"/>
      <c r="K26" s="83">
        <f>VLOOKUP(C26,'Sales Master'!B$3:Q$537,16,0)</f>
        <v>16.5</v>
      </c>
      <c r="L26" s="64">
        <f>K26*G26</f>
        <v>16.5</v>
      </c>
      <c r="M26" s="65"/>
    </row>
    <row r="27" spans="2:23" ht="20.149999999999999" customHeight="1" x14ac:dyDescent="0.45">
      <c r="B27" s="29"/>
      <c r="C27" s="212" t="s">
        <v>1012</v>
      </c>
      <c r="D27" s="487" t="str">
        <f>VLOOKUP(C27,'Sales Master'!B$3:D$537,2,)</f>
        <v>Yu Tiao 油条</v>
      </c>
      <c r="E27" s="487"/>
      <c r="F27" s="487"/>
      <c r="G27" s="76">
        <v>2</v>
      </c>
      <c r="H27" s="186" t="str">
        <f>VLOOKUP(C27,'Sales Master'!$B$3:$E$537,4,0)</f>
        <v>-</v>
      </c>
      <c r="I27" s="499" t="str">
        <f>VLOOKUP(C27,'Sales Master'!$B$3:F$537,5,0)</f>
        <v>10 PCS/PKT</v>
      </c>
      <c r="J27" s="499"/>
      <c r="K27" s="83">
        <f>VLOOKUP(C27,'Sales Master'!B$3:Q$537,16,0)</f>
        <v>6</v>
      </c>
      <c r="L27" s="64">
        <f t="shared" ref="L27" si="4">K27*G27</f>
        <v>12</v>
      </c>
      <c r="M27" s="65"/>
    </row>
    <row r="28" spans="2:23" ht="20.149999999999999" customHeight="1" x14ac:dyDescent="0.45">
      <c r="B28" s="29"/>
      <c r="C28" s="212"/>
      <c r="G28" s="76"/>
      <c r="H28" s="186"/>
      <c r="I28" s="210"/>
      <c r="J28" s="210"/>
      <c r="K28" s="83"/>
      <c r="L28" s="64"/>
      <c r="M28" s="65"/>
    </row>
    <row r="29" spans="2:23" ht="20.149999999999999" customHeight="1" x14ac:dyDescent="0.45">
      <c r="B29" s="29"/>
      <c r="C29" s="212"/>
      <c r="G29" s="76"/>
      <c r="H29" s="186"/>
      <c r="I29" s="210"/>
      <c r="J29" s="210"/>
      <c r="K29" s="83"/>
      <c r="L29" s="64"/>
      <c r="M29" s="65"/>
    </row>
    <row r="30" spans="2:23" ht="20.149999999999999" customHeight="1" x14ac:dyDescent="0.45">
      <c r="B30" s="29"/>
      <c r="C30" s="149" t="s">
        <v>2271</v>
      </c>
      <c r="D30" s="403"/>
      <c r="E30" s="403"/>
      <c r="F30" s="403"/>
      <c r="G30" s="76"/>
      <c r="H30" s="186"/>
      <c r="I30" s="484"/>
      <c r="J30" s="484"/>
      <c r="K30" s="190"/>
      <c r="L30" s="64"/>
      <c r="M30" s="65"/>
    </row>
    <row r="31" spans="2:23" ht="20.149999999999999" customHeight="1" x14ac:dyDescent="0.45">
      <c r="B31" s="29"/>
      <c r="C31" s="212" t="s">
        <v>966</v>
      </c>
      <c r="D31" s="493" t="e">
        <f>VLOOKUP(C31,#REF!,2,0)</f>
        <v>#REF!</v>
      </c>
      <c r="E31" s="493"/>
      <c r="F31" s="493"/>
      <c r="G31" s="17">
        <v>1</v>
      </c>
      <c r="H31" s="186" t="e">
        <f>VLOOKUP(C31,#REF!,5,0)</f>
        <v>#REF!</v>
      </c>
      <c r="I31" s="484" t="e">
        <f>VLOOKUP(C31,#REF!,4,0)</f>
        <v>#REF!</v>
      </c>
      <c r="J31" s="484"/>
      <c r="K31" s="190">
        <v>48</v>
      </c>
      <c r="L31" s="64"/>
      <c r="M31" s="65"/>
      <c r="N31" s="145"/>
      <c r="O31" s="145"/>
      <c r="P31" s="145"/>
    </row>
    <row r="32" spans="2:23" ht="20.149999999999999" customHeight="1" x14ac:dyDescent="0.45">
      <c r="B32" s="29"/>
      <c r="C32" s="212"/>
      <c r="D32" s="487"/>
      <c r="E32" s="487"/>
      <c r="F32" s="487"/>
      <c r="G32" s="76"/>
      <c r="H32" s="186"/>
      <c r="I32" s="499"/>
      <c r="J32" s="499"/>
      <c r="K32" s="83"/>
      <c r="L32" s="64"/>
      <c r="M32" s="65"/>
      <c r="N32" s="145"/>
      <c r="O32" s="145"/>
      <c r="P32" s="145"/>
    </row>
    <row r="33" spans="2:16" ht="20.149999999999999" customHeight="1" x14ac:dyDescent="0.45">
      <c r="B33" s="29"/>
      <c r="C33" s="212"/>
      <c r="D33" s="487"/>
      <c r="E33" s="487"/>
      <c r="F33" s="487"/>
      <c r="G33" s="76"/>
      <c r="H33" s="186"/>
      <c r="I33" s="484"/>
      <c r="J33" s="484"/>
      <c r="K33" s="83"/>
      <c r="L33" s="64"/>
      <c r="M33" s="65"/>
      <c r="N33" s="145"/>
      <c r="O33" s="145"/>
      <c r="P33" s="145"/>
    </row>
    <row r="34" spans="2:16" ht="20.149999999999999" customHeight="1" x14ac:dyDescent="0.45">
      <c r="B34" s="29"/>
      <c r="C34" s="17"/>
      <c r="G34" s="76"/>
      <c r="H34" s="186"/>
      <c r="I34" s="208"/>
      <c r="J34" s="208"/>
      <c r="K34" s="83"/>
      <c r="L34" s="64"/>
      <c r="M34" s="65"/>
      <c r="N34" s="145"/>
      <c r="O34" s="145"/>
      <c r="P34" s="145"/>
    </row>
    <row r="35" spans="2:16" ht="20.149999999999999" customHeight="1" thickBot="1" x14ac:dyDescent="0.5">
      <c r="B35" s="32"/>
      <c r="C35" s="33"/>
      <c r="D35" s="488"/>
      <c r="E35" s="488"/>
      <c r="F35" s="488"/>
      <c r="G35" s="33"/>
      <c r="H35" s="57"/>
      <c r="I35" s="459"/>
      <c r="J35" s="459"/>
      <c r="K35" s="34"/>
      <c r="L35" s="35"/>
    </row>
    <row r="36" spans="2:16" ht="20.149999999999999" customHeight="1" thickBot="1" x14ac:dyDescent="0.5">
      <c r="B36" s="36"/>
      <c r="L36" s="37"/>
    </row>
    <row r="37" spans="2:16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89" t="s">
        <v>13</v>
      </c>
      <c r="K37" s="490"/>
      <c r="L37" s="38">
        <f>SUM(L18:L34)</f>
        <v>175.5</v>
      </c>
      <c r="M37" s="63">
        <f>SUM(P18:P35)</f>
        <v>0</v>
      </c>
    </row>
    <row r="38" spans="2:16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6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91" t="s">
        <v>19</v>
      </c>
      <c r="K39" s="492"/>
      <c r="L39" s="41">
        <f>L37-L38</f>
        <v>175.5</v>
      </c>
    </row>
    <row r="40" spans="2:16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15.795</v>
      </c>
    </row>
    <row r="41" spans="2:16" ht="20.149999999999999" customHeight="1" thickBot="1" x14ac:dyDescent="0.5">
      <c r="B41" s="10" t="s">
        <v>23</v>
      </c>
      <c r="C41" s="6"/>
      <c r="D41" s="6"/>
      <c r="E41" s="6"/>
      <c r="F41" s="6"/>
      <c r="G41" s="6"/>
      <c r="H41" s="6"/>
      <c r="I41" s="6"/>
      <c r="J41" s="485" t="s">
        <v>21</v>
      </c>
      <c r="K41" s="486"/>
      <c r="L41" s="43">
        <f>L39+L40</f>
        <v>191.29499999999999</v>
      </c>
    </row>
    <row r="42" spans="2:16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44"/>
      <c r="C46" s="45"/>
      <c r="D46" s="45"/>
      <c r="J46" s="45"/>
      <c r="K46" s="45"/>
      <c r="L46" s="46"/>
    </row>
    <row r="47" spans="2:16" ht="20.149999999999999" customHeight="1" x14ac:dyDescent="0.45">
      <c r="B47" s="36" t="s">
        <v>25</v>
      </c>
      <c r="J47" s="19" t="s">
        <v>26</v>
      </c>
      <c r="L47" s="37"/>
    </row>
    <row r="48" spans="2:16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  <row r="304" spans="12:39" x14ac:dyDescent="0.45">
      <c r="L304" s="19">
        <v>35</v>
      </c>
      <c r="Q304" s="19">
        <v>34</v>
      </c>
      <c r="R304" s="19">
        <v>34</v>
      </c>
      <c r="AM304" s="19">
        <v>34</v>
      </c>
    </row>
    <row r="328" spans="15:29" x14ac:dyDescent="0.45">
      <c r="O328" s="19">
        <v>42</v>
      </c>
      <c r="P328" s="19">
        <v>42</v>
      </c>
      <c r="Q328" s="19">
        <v>42</v>
      </c>
      <c r="V328" s="19">
        <v>42</v>
      </c>
      <c r="Y328" s="19">
        <v>42</v>
      </c>
      <c r="Z328" s="19">
        <v>42</v>
      </c>
      <c r="AC328" s="19">
        <v>42</v>
      </c>
    </row>
  </sheetData>
  <mergeCells count="46">
    <mergeCell ref="D33:F33"/>
    <mergeCell ref="I33:J33"/>
    <mergeCell ref="D32:F32"/>
    <mergeCell ref="I32:J32"/>
    <mergeCell ref="D19:F19"/>
    <mergeCell ref="I27:J27"/>
    <mergeCell ref="D27:F27"/>
    <mergeCell ref="D21:F21"/>
    <mergeCell ref="I20:J20"/>
    <mergeCell ref="I19:J19"/>
    <mergeCell ref="D31:F31"/>
    <mergeCell ref="I31:J31"/>
    <mergeCell ref="I30:J30"/>
    <mergeCell ref="J41:K41"/>
    <mergeCell ref="J39:K39"/>
    <mergeCell ref="J37:K37"/>
    <mergeCell ref="D35:F35"/>
    <mergeCell ref="I35:J35"/>
    <mergeCell ref="B1:L8"/>
    <mergeCell ref="K15:L15"/>
    <mergeCell ref="D17:F17"/>
    <mergeCell ref="I17:J17"/>
    <mergeCell ref="B14:D14"/>
    <mergeCell ref="K10:L10"/>
    <mergeCell ref="B11:D11"/>
    <mergeCell ref="F11:H15"/>
    <mergeCell ref="K11:L11"/>
    <mergeCell ref="K13:L13"/>
    <mergeCell ref="K12:L12"/>
    <mergeCell ref="K14:L14"/>
    <mergeCell ref="B12:D12"/>
    <mergeCell ref="B13:D13"/>
    <mergeCell ref="D18:F18"/>
    <mergeCell ref="D26:F26"/>
    <mergeCell ref="D25:F25"/>
    <mergeCell ref="I26:J26"/>
    <mergeCell ref="I25:J25"/>
    <mergeCell ref="I18:J18"/>
    <mergeCell ref="D22:F22"/>
    <mergeCell ref="I22:J22"/>
    <mergeCell ref="I21:J21"/>
    <mergeCell ref="D24:F24"/>
    <mergeCell ref="I24:J24"/>
    <mergeCell ref="D20:F20"/>
    <mergeCell ref="D23:F23"/>
    <mergeCell ref="I23:J23"/>
  </mergeCells>
  <conditionalFormatting sqref="C30">
    <cfRule type="duplicateValues" dxfId="208" priority="1"/>
  </conditionalFormatting>
  <hyperlinks>
    <hyperlink ref="B15" r:id="rId1" xr:uid="{1BA5A5E4-9FAB-47D7-AEB1-E5EF24E12A88}"/>
  </hyperlinks>
  <pageMargins left="0.70866141732283472" right="0.31496062992125984" top="0.59055118110236227" bottom="0" header="0.31496062992125984" footer="0.31496062992125984"/>
  <pageSetup paperSize="9" scale="75" orientation="portrait" horizontalDpi="300" verticalDpi="300" r:id="rId2"/>
  <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39D1E-21A3-4C83-BA4B-9A429F65EFB1}">
  <sheetPr codeName="Sheet147">
    <tabColor rgb="FFFFC000"/>
    <pageSetUpPr fitToPage="1"/>
  </sheetPr>
  <dimension ref="B1:V44"/>
  <sheetViews>
    <sheetView topLeftCell="A9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6.453125" style="19" customWidth="1"/>
    <col min="9" max="9" width="2.54296875" style="19" hidden="1" customWidth="1"/>
    <col min="10" max="10" width="14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2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2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2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2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2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2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2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2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22" ht="19" thickBot="1" x14ac:dyDescent="0.5">
      <c r="B9" s="18"/>
    </row>
    <row r="10" spans="2:2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176</v>
      </c>
      <c r="J10" s="24" t="s">
        <v>27</v>
      </c>
      <c r="K10" s="464">
        <v>202412636</v>
      </c>
      <c r="L10" s="465"/>
    </row>
    <row r="11" spans="2:22" ht="20.149999999999999" customHeight="1" x14ac:dyDescent="0.45">
      <c r="B11" s="466" t="s">
        <v>190</v>
      </c>
      <c r="C11" s="467"/>
      <c r="D11" s="468"/>
      <c r="E11" s="25"/>
      <c r="F11" s="469" t="str">
        <f>VLOOKUP(H10,'Delivery Location'!A$4:N$466,2,0)</f>
        <v>梅林                                                             Changi Village Hawker Centre.                                         #01-57  Singapore 500002</v>
      </c>
      <c r="G11" s="470"/>
      <c r="H11" s="471"/>
      <c r="J11" s="26" t="s">
        <v>9</v>
      </c>
      <c r="K11" s="478">
        <v>45654</v>
      </c>
      <c r="L11" s="479"/>
    </row>
    <row r="12" spans="2:22" ht="20.149999999999999" customHeight="1" x14ac:dyDescent="0.45">
      <c r="B12" s="480" t="s">
        <v>350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22" ht="20.149999999999999" customHeight="1" x14ac:dyDescent="0.45">
      <c r="B13" s="480" t="s">
        <v>452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49" t="s">
        <v>1073</v>
      </c>
    </row>
    <row r="14" spans="2:22" ht="20.149999999999999" customHeight="1" x14ac:dyDescent="0.45">
      <c r="B14" s="480" t="s">
        <v>351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22" ht="18" customHeight="1" thickBot="1" x14ac:dyDescent="0.5">
      <c r="B15" s="508"/>
      <c r="C15" s="509"/>
      <c r="D15" s="510"/>
      <c r="E15" s="21"/>
      <c r="F15" s="475"/>
      <c r="G15" s="476"/>
      <c r="H15" s="477"/>
      <c r="J15" s="27" t="s">
        <v>11</v>
      </c>
      <c r="K15" s="136" t="s">
        <v>627</v>
      </c>
      <c r="L15" s="118"/>
      <c r="N15" s="19" t="s">
        <v>980</v>
      </c>
      <c r="O15" s="19" t="s">
        <v>603</v>
      </c>
      <c r="R15" s="19">
        <v>1</v>
      </c>
      <c r="S15" s="19" t="s">
        <v>531</v>
      </c>
      <c r="T15" s="19" t="s">
        <v>34</v>
      </c>
      <c r="V15" s="19">
        <v>22</v>
      </c>
    </row>
    <row r="16" spans="2:2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714</v>
      </c>
      <c r="D18" s="487" t="str">
        <f>VLOOKUP(C18,'Sales Master'!B$3:D$537,2,)</f>
        <v>Chendol 浆咯 (陈顺美）</v>
      </c>
      <c r="E18" s="487"/>
      <c r="F18" s="487"/>
      <c r="G18" s="76">
        <v>1</v>
      </c>
      <c r="H18" s="230" t="str">
        <f>VLOOKUP(C18,'Sales Master'!$B$3:$F$2488,5,0)</f>
        <v>3 KG</v>
      </c>
      <c r="I18" s="484" t="str">
        <f>VLOOKUP(C18,'Sales Master'!$B$3:$E$2488,4,0)</f>
        <v>TSM</v>
      </c>
      <c r="J18" s="484"/>
      <c r="K18" s="80">
        <f>VLOOKUP(C18,'Sales Master'!B$3:AB$537,27,0)</f>
        <v>9.8000000000000007</v>
      </c>
      <c r="L18" s="64">
        <f t="shared" ref="L18" si="0">K18*G18</f>
        <v>9.8000000000000007</v>
      </c>
      <c r="M18" s="81"/>
      <c r="N18" s="145">
        <f>VLOOKUP(C18,'Sales Master'!$B$3:$DA$2279,104,0)</f>
        <v>7</v>
      </c>
      <c r="O18" s="145">
        <f t="shared" ref="O18" si="1">K18-N18</f>
        <v>2.8000000000000007</v>
      </c>
      <c r="P18" s="145">
        <f t="shared" ref="P18" si="2">O18*G18</f>
        <v>2.8000000000000007</v>
      </c>
    </row>
    <row r="19" spans="2:16" ht="20.149999999999999" customHeight="1" x14ac:dyDescent="0.45">
      <c r="B19" s="258"/>
      <c r="C19" s="212" t="s">
        <v>923</v>
      </c>
      <c r="D19" s="487" t="str">
        <f>VLOOKUP(C19,'Sales Master'!B$3:D$537,2,)</f>
        <v>Sea Coconut 海底椰</v>
      </c>
      <c r="E19" s="487"/>
      <c r="F19" s="487"/>
      <c r="G19" s="76">
        <v>3</v>
      </c>
      <c r="H19" s="230" t="str">
        <f>VLOOKUP(C19,'Sales Master'!$B$3:$F$2488,5,0)</f>
        <v>1 Can X A10</v>
      </c>
      <c r="I19" s="484" t="str">
        <f>VLOOKUP(C19,'Sales Master'!$B$3:$E$2488,4,0)</f>
        <v>Chefs</v>
      </c>
      <c r="J19" s="484"/>
      <c r="K19" s="80">
        <f>VLOOKUP(C19,'Sales Master'!B$3:AB$537,27,0)</f>
        <v>19.5</v>
      </c>
      <c r="L19" s="64">
        <f>K19*G19</f>
        <v>58.5</v>
      </c>
      <c r="M19" s="81"/>
      <c r="N19" s="145">
        <f>VLOOKUP(C19,'Sales Master'!$B$3:$DA$2279,104,0)</f>
        <v>16.666666666666668</v>
      </c>
      <c r="O19" s="145">
        <f>K19-N19</f>
        <v>2.8333333333333321</v>
      </c>
      <c r="P19" s="145">
        <f>O19*G19</f>
        <v>8.4999999999999964</v>
      </c>
    </row>
    <row r="20" spans="2:16" ht="20.149999999999999" customHeight="1" x14ac:dyDescent="0.45">
      <c r="B20" s="29"/>
      <c r="C20" s="212" t="s">
        <v>925</v>
      </c>
      <c r="D20" s="487" t="str">
        <f>VLOOKUP(C20,'Sales Master'!B$3:D$537,2,)</f>
        <v>Nata 椰果芊 15mm</v>
      </c>
      <c r="E20" s="487"/>
      <c r="F20" s="487"/>
      <c r="G20" s="76">
        <v>1</v>
      </c>
      <c r="H20" s="230" t="str">
        <f>VLOOKUP(C20,'Sales Master'!$B$3:$F$2488,5,0)</f>
        <v>1 Can X A10 /罐</v>
      </c>
      <c r="I20" s="484" t="str">
        <f>VLOOKUP(C20,'Sales Master'!$B$3:$E$2488,4,0)</f>
        <v>Chefs</v>
      </c>
      <c r="J20" s="484"/>
      <c r="K20" s="80">
        <f>VLOOKUP(C20,'Sales Master'!B$3:AB$537,27,0)</f>
        <v>10</v>
      </c>
      <c r="L20" s="64">
        <f>K20*G20</f>
        <v>10</v>
      </c>
      <c r="M20" s="81"/>
      <c r="N20" s="145">
        <f>VLOOKUP(C20,'Sales Master'!$B$3:$DA$2279,104,0)</f>
        <v>7.75</v>
      </c>
      <c r="O20" s="145">
        <f>K20-N20</f>
        <v>2.25</v>
      </c>
      <c r="P20" s="145">
        <f>O20*G20</f>
        <v>2.25</v>
      </c>
    </row>
    <row r="21" spans="2:16" ht="20.149999999999999" customHeight="1" x14ac:dyDescent="0.45">
      <c r="B21" s="258"/>
      <c r="C21" s="212" t="s">
        <v>929</v>
      </c>
      <c r="D21" s="487" t="str">
        <f>VLOOKUP(C21,'Sales Master'!B$3:D$537,2,)</f>
        <v>Aloe Vera 芦荟 10mm</v>
      </c>
      <c r="E21" s="487"/>
      <c r="F21" s="487"/>
      <c r="G21" s="76">
        <v>1</v>
      </c>
      <c r="H21" s="230" t="str">
        <f>VLOOKUP(C21,'Sales Master'!$B$3:$F$2488,5,0)</f>
        <v>1 Can X A10</v>
      </c>
      <c r="I21" s="484" t="str">
        <f>VLOOKUP(C21,'Sales Master'!$B$3:$E$2488,4,0)</f>
        <v>Chefs</v>
      </c>
      <c r="J21" s="484"/>
      <c r="K21" s="80">
        <f>VLOOKUP(C21,'Sales Master'!B$3:AB$537,27,0)</f>
        <v>10</v>
      </c>
      <c r="L21" s="64">
        <f t="shared" ref="L21" si="3">K21*G21</f>
        <v>10</v>
      </c>
      <c r="M21" s="81"/>
      <c r="N21" s="145">
        <f>VLOOKUP(C21,'Sales Master'!$B$3:$DA$2279,104,0)</f>
        <v>7</v>
      </c>
      <c r="O21" s="145">
        <f t="shared" ref="O21" si="4">K21-N21</f>
        <v>3</v>
      </c>
      <c r="P21" s="145">
        <f t="shared" ref="P21" si="5">O21*G21</f>
        <v>3</v>
      </c>
    </row>
    <row r="22" spans="2:16" ht="20.149999999999999" customHeight="1" x14ac:dyDescent="0.45">
      <c r="B22" s="258"/>
      <c r="C22" s="212" t="s">
        <v>939</v>
      </c>
      <c r="D22" s="487" t="str">
        <f>VLOOKUP(C22,'Sales Master'!B$3:D$537,2,)</f>
        <v>Fruit Cocktail 杂果</v>
      </c>
      <c r="E22" s="487"/>
      <c r="F22" s="487"/>
      <c r="G22" s="76">
        <v>1</v>
      </c>
      <c r="H22" s="230" t="str">
        <f>VLOOKUP(C22,'Sales Master'!$B$3:$F$2488,5,0)</f>
        <v>820 GM x 12/ Ctn箱</v>
      </c>
      <c r="I22" s="484" t="str">
        <f>VLOOKUP(C22,'Sales Master'!$B$3:$E$2488,4,0)</f>
        <v>Statue</v>
      </c>
      <c r="J22" s="484"/>
      <c r="K22" s="80">
        <f>VLOOKUP(C22,'Sales Master'!B$3:AB$537,27,0)</f>
        <v>38</v>
      </c>
      <c r="L22" s="64">
        <f>K22*G22</f>
        <v>38</v>
      </c>
      <c r="M22" s="81"/>
      <c r="N22" s="145">
        <f>VLOOKUP(C22,'Sales Master'!$B$3:$DA$2279,104,0)</f>
        <v>33</v>
      </c>
      <c r="O22" s="145">
        <f>K22-N22</f>
        <v>5</v>
      </c>
      <c r="P22" s="145">
        <f>O22*G22</f>
        <v>5</v>
      </c>
    </row>
    <row r="23" spans="2:16" ht="20.149999999999999" customHeight="1" x14ac:dyDescent="0.45">
      <c r="B23" s="258"/>
      <c r="C23" s="212"/>
      <c r="D23" s="487"/>
      <c r="E23" s="487"/>
      <c r="F23" s="487"/>
      <c r="G23" s="76"/>
      <c r="H23" s="230"/>
      <c r="I23" s="484"/>
      <c r="J23" s="484"/>
      <c r="K23" s="80"/>
      <c r="L23" s="64"/>
      <c r="M23" s="81"/>
      <c r="N23" s="145"/>
      <c r="O23" s="145"/>
      <c r="P23" s="145"/>
    </row>
    <row r="24" spans="2:16" ht="20.149999999999999" customHeight="1" x14ac:dyDescent="0.45">
      <c r="B24" s="258"/>
      <c r="C24" s="212"/>
      <c r="D24" s="487"/>
      <c r="E24" s="487"/>
      <c r="F24" s="487"/>
      <c r="G24" s="76"/>
      <c r="H24" s="230"/>
      <c r="I24" s="522"/>
      <c r="J24" s="522"/>
      <c r="K24" s="80"/>
      <c r="L24" s="64"/>
      <c r="M24" s="81"/>
      <c r="N24" s="145"/>
      <c r="O24" s="145"/>
      <c r="P24" s="145"/>
    </row>
    <row r="25" spans="2:16" ht="20.149999999999999" customHeight="1" x14ac:dyDescent="0.45">
      <c r="B25" s="29"/>
      <c r="C25" s="212"/>
      <c r="D25" s="487"/>
      <c r="E25" s="487"/>
      <c r="F25" s="487"/>
      <c r="G25" s="76"/>
      <c r="H25" s="230"/>
      <c r="I25" s="484"/>
      <c r="J25" s="484"/>
      <c r="K25" s="80"/>
      <c r="L25" s="64"/>
      <c r="M25" s="81"/>
      <c r="N25" s="145"/>
      <c r="O25" s="145"/>
      <c r="P25" s="145"/>
    </row>
    <row r="26" spans="2:16" ht="20.149999999999999" customHeight="1" x14ac:dyDescent="0.45">
      <c r="B26" s="78"/>
      <c r="C26" s="244"/>
      <c r="D26" s="487"/>
      <c r="E26" s="487"/>
      <c r="F26" s="487"/>
      <c r="G26" s="76"/>
      <c r="H26" s="230"/>
      <c r="I26" s="484"/>
      <c r="J26" s="484"/>
      <c r="K26" s="80"/>
      <c r="L26" s="64"/>
      <c r="M26" s="81"/>
      <c r="N26" s="145"/>
      <c r="O26" s="145"/>
      <c r="P26" s="145"/>
    </row>
    <row r="27" spans="2:16" ht="20.149999999999999" customHeight="1" x14ac:dyDescent="0.45">
      <c r="B27" s="29"/>
      <c r="C27" s="244"/>
      <c r="D27" s="446"/>
      <c r="E27" s="446"/>
      <c r="F27" s="446"/>
      <c r="G27" s="76"/>
      <c r="H27" s="183"/>
      <c r="I27" s="513"/>
      <c r="J27" s="513"/>
      <c r="K27" s="83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244"/>
      <c r="D28" s="446"/>
      <c r="E28" s="446"/>
      <c r="F28" s="446"/>
      <c r="G28" s="76"/>
      <c r="H28" s="183"/>
      <c r="I28" s="513"/>
      <c r="J28" s="513"/>
      <c r="K28" s="83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17"/>
      <c r="D29" s="487"/>
      <c r="E29" s="487"/>
      <c r="F29" s="487"/>
      <c r="G29" s="76"/>
      <c r="H29" s="85"/>
      <c r="I29" s="484"/>
      <c r="J29" s="484"/>
      <c r="K29" s="80"/>
      <c r="L29" s="64"/>
    </row>
    <row r="30" spans="2:16" ht="20.149999999999999" customHeight="1" thickBot="1" x14ac:dyDescent="0.5">
      <c r="B30" s="32"/>
      <c r="C30" s="33"/>
      <c r="D30" s="488"/>
      <c r="E30" s="488"/>
      <c r="F30" s="488"/>
      <c r="G30" s="33"/>
      <c r="H30" s="57"/>
      <c r="I30" s="459"/>
      <c r="J30" s="459"/>
      <c r="K30" s="34"/>
      <c r="L30" s="35"/>
    </row>
    <row r="31" spans="2:16" ht="20.149999999999999" customHeight="1" thickBot="1" x14ac:dyDescent="0.5">
      <c r="B31" s="36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89" t="s">
        <v>13</v>
      </c>
      <c r="K32" s="490"/>
      <c r="L32" s="38">
        <f>SUM(L18:L31)</f>
        <v>126.3</v>
      </c>
      <c r="M32" s="63">
        <f>SUM(P18:P31)</f>
        <v>21.549999999999997</v>
      </c>
      <c r="N32" s="133">
        <f>M32/L32</f>
        <v>0.17062549485352335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91" t="s">
        <v>19</v>
      </c>
      <c r="K34" s="492"/>
      <c r="L34" s="41">
        <f>L32-L33</f>
        <v>126.3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11.366999999999999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85" t="s">
        <v>21</v>
      </c>
      <c r="K36" s="486"/>
      <c r="L36" s="43">
        <f>L34+L35</f>
        <v>137.667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3">
    <mergeCell ref="B1:L8"/>
    <mergeCell ref="K10:L10"/>
    <mergeCell ref="B11:D11"/>
    <mergeCell ref="F11:H15"/>
    <mergeCell ref="B14:D14"/>
    <mergeCell ref="K14:L14"/>
    <mergeCell ref="B15:D15"/>
    <mergeCell ref="K11:L11"/>
    <mergeCell ref="K12:L12"/>
    <mergeCell ref="K13:L13"/>
    <mergeCell ref="B12:D12"/>
    <mergeCell ref="B13:D13"/>
    <mergeCell ref="I17:J17"/>
    <mergeCell ref="I24:J24"/>
    <mergeCell ref="I18:J18"/>
    <mergeCell ref="D23:F23"/>
    <mergeCell ref="I23:J23"/>
    <mergeCell ref="D18:F18"/>
    <mergeCell ref="D17:F17"/>
    <mergeCell ref="D19:F19"/>
    <mergeCell ref="I19:J19"/>
    <mergeCell ref="I20:J20"/>
    <mergeCell ref="D20:F20"/>
    <mergeCell ref="D21:F21"/>
    <mergeCell ref="I21:J21"/>
    <mergeCell ref="D22:F22"/>
    <mergeCell ref="I22:J22"/>
    <mergeCell ref="D27:F27"/>
    <mergeCell ref="I27:J27"/>
    <mergeCell ref="J36:K36"/>
    <mergeCell ref="D29:F29"/>
    <mergeCell ref="I29:J29"/>
    <mergeCell ref="D30:F30"/>
    <mergeCell ref="I30:J30"/>
    <mergeCell ref="J32:K32"/>
    <mergeCell ref="J34:K34"/>
    <mergeCell ref="D28:F28"/>
    <mergeCell ref="I28:J28"/>
    <mergeCell ref="D26:F26"/>
    <mergeCell ref="I26:J26"/>
    <mergeCell ref="D24:F24"/>
    <mergeCell ref="I25:J25"/>
    <mergeCell ref="D25:F25"/>
  </mergeCells>
  <conditionalFormatting sqref="C21">
    <cfRule type="duplicateValues" dxfId="207" priority="1"/>
  </conditionalFormatting>
  <conditionalFormatting sqref="C26:C28">
    <cfRule type="duplicateValues" dxfId="206" priority="2"/>
  </conditionalFormatting>
  <pageMargins left="0.70866141732283472" right="0.31496062992125984" top="0.23622047244094491" bottom="0.23622047244094491" header="0.31496062992125984" footer="0.31496062992125984"/>
  <pageSetup paperSize="9" scale="79" orientation="portrait" horizontalDpi="300" verticalDpi="30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7E52E-1CE2-4948-ABD6-7360554EF515}">
  <sheetPr codeName="Sheet138">
    <tabColor rgb="FF7030A0"/>
    <pageSetUpPr fitToPage="1"/>
  </sheetPr>
  <dimension ref="B1:R45"/>
  <sheetViews>
    <sheetView topLeftCell="A26" workbookViewId="0">
      <selection activeCell="G19" sqref="G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8.81640625" style="19" customWidth="1"/>
    <col min="9" max="9" width="1.1796875" style="19" customWidth="1"/>
    <col min="10" max="10" width="15.54296875" style="19" customWidth="1"/>
    <col min="11" max="11" width="11.1796875" style="19" customWidth="1"/>
    <col min="12" max="12" width="12.54296875" style="19" customWidth="1"/>
    <col min="13" max="16384" width="12.54296875" style="19"/>
  </cols>
  <sheetData>
    <row r="1" spans="2:15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5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5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5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5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5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5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5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177</v>
      </c>
      <c r="J10" s="24" t="s">
        <v>27</v>
      </c>
      <c r="K10" s="464">
        <v>202504260</v>
      </c>
      <c r="L10" s="465"/>
    </row>
    <row r="11" spans="2:15" ht="20.149999999999999" customHeight="1" x14ac:dyDescent="0.45">
      <c r="B11" s="466" t="s">
        <v>190</v>
      </c>
      <c r="C11" s="467"/>
      <c r="D11" s="468"/>
      <c r="E11" s="25"/>
      <c r="F11" s="469" t="str">
        <f>VLOOKUP(H10,'Delivery Location'!A$4:N$466,2,0)</f>
        <v>梅林                                                             Block 425, #06-409 Tampines Street 41, Singapore 520425</v>
      </c>
      <c r="G11" s="470"/>
      <c r="H11" s="471"/>
      <c r="J11" s="26" t="s">
        <v>9</v>
      </c>
      <c r="K11" s="478">
        <v>45757</v>
      </c>
      <c r="L11" s="479"/>
    </row>
    <row r="12" spans="2:15" ht="20.149999999999999" customHeight="1" x14ac:dyDescent="0.45">
      <c r="B12" s="480" t="s">
        <v>350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5" ht="20.149999999999999" customHeight="1" x14ac:dyDescent="0.45">
      <c r="B13" s="480" t="s">
        <v>452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1025</v>
      </c>
      <c r="O13" s="19" t="s">
        <v>670</v>
      </c>
    </row>
    <row r="14" spans="2:15" ht="20.149999999999999" customHeight="1" x14ac:dyDescent="0.45">
      <c r="B14" s="480" t="s">
        <v>351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5" ht="18" customHeight="1" thickBot="1" x14ac:dyDescent="0.5">
      <c r="B15" s="508"/>
      <c r="C15" s="509"/>
      <c r="D15" s="510"/>
      <c r="E15" s="21"/>
      <c r="F15" s="475"/>
      <c r="G15" s="476"/>
      <c r="H15" s="477"/>
      <c r="J15" s="27" t="s">
        <v>11</v>
      </c>
      <c r="K15" s="134" t="s">
        <v>627</v>
      </c>
      <c r="L15" s="118"/>
    </row>
    <row r="16" spans="2:15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7" t="s">
        <v>649</v>
      </c>
      <c r="I17" s="460" t="s">
        <v>650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8" ht="20.149999999999999" customHeight="1" x14ac:dyDescent="0.45">
      <c r="B18" s="29"/>
      <c r="C18" s="212" t="s">
        <v>807</v>
      </c>
      <c r="D18" s="487" t="str">
        <f>VLOOKUP(C18,'Sales Master'!B$3:D$537,2,)</f>
        <v>Chin Chow  仙草</v>
      </c>
      <c r="E18" s="487"/>
      <c r="F18" s="487"/>
      <c r="G18" s="17">
        <v>2</v>
      </c>
      <c r="H18" s="186" t="str">
        <f>VLOOKUP(C18,'Sales Master'!$B$3:$F$2488,5,0)</f>
        <v>4 KG/ Pkt包</v>
      </c>
      <c r="I18" s="484" t="str">
        <f>VLOOKUP(C18,'Sales Master'!$B$3:$E$2488,4,0)</f>
        <v>TSM</v>
      </c>
      <c r="J18" s="484"/>
      <c r="K18" s="80">
        <f>VLOOKUP(C18,'Sales Master'!B$3:AB$537,27,0)</f>
        <v>6</v>
      </c>
      <c r="L18" s="64">
        <f>K18*G18</f>
        <v>12</v>
      </c>
      <c r="M18" s="81"/>
      <c r="N18" s="145">
        <f>VLOOKUP(C18,'Sales Master'!$B$3:$DA$2279,104,0)</f>
        <v>4</v>
      </c>
      <c r="O18" s="145">
        <f>K18-N18</f>
        <v>2</v>
      </c>
      <c r="P18" s="145">
        <f>O18*G18</f>
        <v>4</v>
      </c>
      <c r="R18" s="63"/>
    </row>
    <row r="19" spans="2:18" ht="20.149999999999999" customHeight="1" x14ac:dyDescent="0.45">
      <c r="B19" s="29"/>
      <c r="C19" s="212" t="s">
        <v>812</v>
      </c>
      <c r="D19" s="487" t="str">
        <f>VLOOKUP(C19,'Sales Master'!B$3:D$537,2,)</f>
        <v>Red Bean 红豆 (5.5 mm)</v>
      </c>
      <c r="E19" s="487"/>
      <c r="F19" s="487"/>
      <c r="G19" s="17">
        <v>6</v>
      </c>
      <c r="H19" s="186" t="str">
        <f>VLOOKUP(C19,'Sales Master'!$B$3:$F$2488,5,0)</f>
        <v>5 KG</v>
      </c>
      <c r="I19" s="484" t="str">
        <f>VLOOKUP(C19,'Sales Master'!$B$3:$E$2488,4,0)</f>
        <v>-</v>
      </c>
      <c r="J19" s="484"/>
      <c r="K19" s="80">
        <f>VLOOKUP(C19,'Sales Master'!B$3:AB$537,27,0)</f>
        <v>19</v>
      </c>
      <c r="L19" s="64">
        <f>K19*G19</f>
        <v>114</v>
      </c>
      <c r="M19" s="81"/>
      <c r="N19" s="145">
        <f>VLOOKUP(C19,'Sales Master'!$B$3:$DA$2279,104,0)</f>
        <v>12.5</v>
      </c>
      <c r="O19" s="145">
        <f>K19-N19</f>
        <v>6.5</v>
      </c>
      <c r="P19" s="145">
        <f>O19*G19</f>
        <v>39</v>
      </c>
      <c r="R19" s="63"/>
    </row>
    <row r="20" spans="2:18" ht="20.149999999999999" customHeight="1" x14ac:dyDescent="0.45">
      <c r="B20" s="29"/>
      <c r="C20" s="212" t="s">
        <v>849</v>
      </c>
      <c r="D20" s="487" t="str">
        <f>VLOOKUP(C20,'Sales Master'!B$3:D$537,2,)</f>
        <v>Big Sago 大丸</v>
      </c>
      <c r="E20" s="487"/>
      <c r="F20" s="487"/>
      <c r="G20" s="17">
        <v>1</v>
      </c>
      <c r="H20" s="186" t="str">
        <f>VLOOKUP(C20,'Sales Master'!$B$3:$F$2488,5,0)</f>
        <v>5 KG</v>
      </c>
      <c r="I20" s="484" t="str">
        <f>VLOOKUP(C20,'Sales Master'!$B$3:$E$2488,4,0)</f>
        <v>-</v>
      </c>
      <c r="J20" s="484"/>
      <c r="K20" s="80">
        <f>VLOOKUP(C20,'Sales Master'!B$3:AB$537,27,0)</f>
        <v>11</v>
      </c>
      <c r="L20" s="64">
        <f t="shared" ref="L20" si="0">K20*G20</f>
        <v>11</v>
      </c>
      <c r="M20" s="81"/>
      <c r="N20" s="145">
        <f>VLOOKUP(C20,'Sales Master'!$B$3:$DA$2279,104,0)</f>
        <v>8.5</v>
      </c>
      <c r="O20" s="145">
        <f t="shared" ref="O20" si="1">K20-N20</f>
        <v>2.5</v>
      </c>
      <c r="P20" s="145">
        <f t="shared" ref="P20" si="2">O20*G20</f>
        <v>2.5</v>
      </c>
      <c r="R20" s="63"/>
    </row>
    <row r="21" spans="2:18" ht="20.149999999999999" customHeight="1" x14ac:dyDescent="0.45">
      <c r="B21" s="29"/>
      <c r="C21" s="212" t="s">
        <v>860</v>
      </c>
      <c r="D21" s="487" t="str">
        <f>VLOOKUP(C21,'Sales Master'!B$3:D$537,2,)</f>
        <v>Fungus 黄木耳散</v>
      </c>
      <c r="E21" s="487"/>
      <c r="F21" s="487"/>
      <c r="G21" s="17">
        <v>3</v>
      </c>
      <c r="H21" s="186" t="str">
        <f>VLOOKUP(C21,'Sales Master'!$B$3:$F$2488,5,0)</f>
        <v>1 kg</v>
      </c>
      <c r="I21" s="484" t="str">
        <f>VLOOKUP(C21,'Sales Master'!$B$3:$E$2488,4,0)</f>
        <v>黄</v>
      </c>
      <c r="J21" s="484"/>
      <c r="K21" s="80">
        <f>VLOOKUP(C21,'Sales Master'!B$3:AB$537,27,0)</f>
        <v>16</v>
      </c>
      <c r="L21" s="64">
        <f>K21*G21</f>
        <v>48</v>
      </c>
      <c r="M21" s="81"/>
      <c r="N21" s="145">
        <f>VLOOKUP(C21,'Sales Master'!$B$3:$DA$2279,104,0)</f>
        <v>11</v>
      </c>
      <c r="O21" s="145">
        <f>K21-N21</f>
        <v>5</v>
      </c>
      <c r="P21" s="145">
        <f>O21*G21</f>
        <v>15</v>
      </c>
      <c r="R21" s="63"/>
    </row>
    <row r="22" spans="2:18" ht="20.149999999999999" customHeight="1" x14ac:dyDescent="0.45">
      <c r="B22" s="29"/>
      <c r="C22" s="212"/>
      <c r="D22" s="487"/>
      <c r="E22" s="487"/>
      <c r="F22" s="487"/>
      <c r="G22" s="17"/>
      <c r="H22" s="186"/>
      <c r="I22" s="484"/>
      <c r="J22" s="484"/>
      <c r="K22" s="80"/>
      <c r="L22" s="64"/>
      <c r="M22" s="81"/>
      <c r="N22" s="145"/>
      <c r="O22" s="145"/>
      <c r="P22" s="145"/>
      <c r="R22" s="63"/>
    </row>
    <row r="23" spans="2:18" ht="20.149999999999999" customHeight="1" x14ac:dyDescent="0.45">
      <c r="B23" s="29"/>
      <c r="G23" s="17"/>
      <c r="H23" s="188"/>
      <c r="I23" s="208"/>
      <c r="J23" s="208"/>
      <c r="K23" s="80"/>
      <c r="L23" s="64"/>
      <c r="M23" s="81"/>
      <c r="N23" s="145"/>
      <c r="O23" s="145"/>
      <c r="P23" s="145"/>
      <c r="R23" s="63"/>
    </row>
    <row r="24" spans="2:18" ht="20.149999999999999" customHeight="1" x14ac:dyDescent="0.45">
      <c r="B24" s="29"/>
      <c r="C24" s="17"/>
      <c r="G24" s="17"/>
      <c r="H24" s="188"/>
      <c r="I24" s="208"/>
      <c r="J24" s="208"/>
      <c r="K24" s="80"/>
      <c r="L24" s="64"/>
      <c r="M24" s="81"/>
      <c r="N24" s="145"/>
      <c r="O24" s="145"/>
      <c r="P24" s="145"/>
      <c r="R24" s="63"/>
    </row>
    <row r="25" spans="2:18" ht="20.149999999999999" customHeight="1" x14ac:dyDescent="0.45">
      <c r="B25" s="29"/>
      <c r="C25" s="153"/>
      <c r="D25" s="147"/>
      <c r="E25" s="147"/>
      <c r="F25" s="147"/>
      <c r="G25" s="76"/>
      <c r="H25" s="56"/>
      <c r="I25" s="56"/>
      <c r="J25" s="56"/>
      <c r="K25" s="150"/>
      <c r="L25" s="236"/>
      <c r="M25" s="65"/>
      <c r="N25" s="145"/>
      <c r="O25" s="145"/>
      <c r="P25" s="145"/>
    </row>
    <row r="26" spans="2:18" ht="20.149999999999999" customHeight="1" x14ac:dyDescent="0.45">
      <c r="B26" s="29"/>
      <c r="C26" s="244"/>
      <c r="D26" s="446"/>
      <c r="E26" s="446"/>
      <c r="F26" s="446"/>
      <c r="G26" s="76"/>
      <c r="H26" s="183"/>
      <c r="I26" s="513"/>
      <c r="J26" s="513"/>
      <c r="K26" s="83"/>
      <c r="L26" s="236"/>
      <c r="M26" s="65"/>
      <c r="N26" s="145"/>
      <c r="O26" s="145"/>
      <c r="P26" s="145"/>
    </row>
    <row r="27" spans="2:18" ht="20.149999999999999" customHeight="1" x14ac:dyDescent="0.45">
      <c r="B27" s="29"/>
      <c r="C27" s="244"/>
      <c r="D27" s="446"/>
      <c r="E27" s="446"/>
      <c r="F27" s="446"/>
      <c r="G27" s="76"/>
      <c r="H27" s="183"/>
      <c r="I27" s="513"/>
      <c r="J27" s="513"/>
      <c r="K27" s="83"/>
      <c r="L27" s="236"/>
      <c r="M27" s="65"/>
      <c r="N27" s="145"/>
      <c r="O27" s="145"/>
      <c r="P27" s="145"/>
    </row>
    <row r="28" spans="2:18" ht="20.149999999999999" customHeight="1" x14ac:dyDescent="0.45">
      <c r="B28" s="29"/>
      <c r="C28" s="17"/>
      <c r="D28" s="487"/>
      <c r="E28" s="487"/>
      <c r="F28" s="487"/>
      <c r="G28" s="17"/>
      <c r="H28" s="186"/>
      <c r="I28" s="494"/>
      <c r="J28" s="494"/>
      <c r="K28" s="80"/>
      <c r="L28" s="64"/>
      <c r="M28" s="65"/>
      <c r="N28" s="145"/>
      <c r="O28" s="145"/>
      <c r="P28" s="145"/>
    </row>
    <row r="29" spans="2:18" ht="20.149999999999999" customHeight="1" x14ac:dyDescent="0.45">
      <c r="B29" s="29"/>
      <c r="C29" s="147"/>
      <c r="D29" s="487"/>
      <c r="E29" s="487"/>
      <c r="F29" s="487"/>
      <c r="G29" s="17"/>
      <c r="H29" s="188"/>
      <c r="I29" s="484"/>
      <c r="J29" s="484"/>
      <c r="K29" s="80"/>
      <c r="L29" s="64"/>
      <c r="M29" s="65"/>
    </row>
    <row r="30" spans="2:18" ht="20.149999999999999" customHeight="1" x14ac:dyDescent="0.45">
      <c r="B30" s="29"/>
      <c r="C30" s="147"/>
      <c r="D30" s="487"/>
      <c r="E30" s="487"/>
      <c r="F30" s="487"/>
      <c r="G30" s="17"/>
      <c r="H30" s="188"/>
      <c r="I30" s="484"/>
      <c r="J30" s="484"/>
      <c r="K30" s="80"/>
      <c r="L30" s="64"/>
    </row>
    <row r="31" spans="2:18" ht="20.149999999999999" customHeight="1" thickBot="1" x14ac:dyDescent="0.5">
      <c r="B31" s="32"/>
      <c r="C31" s="33"/>
      <c r="D31" s="488"/>
      <c r="E31" s="488"/>
      <c r="F31" s="488"/>
      <c r="G31" s="33"/>
      <c r="H31" s="57"/>
      <c r="I31" s="459"/>
      <c r="J31" s="459"/>
      <c r="K31" s="34"/>
      <c r="L31" s="35"/>
    </row>
    <row r="32" spans="2:18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89" t="s">
        <v>13</v>
      </c>
      <c r="K33" s="490"/>
      <c r="L33" s="38">
        <f>SUM(L17:L30)</f>
        <v>185</v>
      </c>
      <c r="M33" s="63">
        <f>SUM(P18:P30)</f>
        <v>60.5</v>
      </c>
      <c r="N33" s="133">
        <f>M33/L33</f>
        <v>0.32702702702702702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91" t="s">
        <v>19</v>
      </c>
      <c r="K35" s="492"/>
      <c r="L35" s="41">
        <f>L33-L34</f>
        <v>185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16.649999999999999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85" t="s">
        <v>21</v>
      </c>
      <c r="K37" s="486"/>
      <c r="L37" s="43">
        <f>L35+L36</f>
        <v>201.65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39">
    <mergeCell ref="D27:F27"/>
    <mergeCell ref="I27:J27"/>
    <mergeCell ref="D28:F28"/>
    <mergeCell ref="I28:J28"/>
    <mergeCell ref="D22:F22"/>
    <mergeCell ref="J37:K37"/>
    <mergeCell ref="D29:F29"/>
    <mergeCell ref="I29:J29"/>
    <mergeCell ref="D31:F31"/>
    <mergeCell ref="I31:J31"/>
    <mergeCell ref="J33:K33"/>
    <mergeCell ref="J35:K35"/>
    <mergeCell ref="D30:F30"/>
    <mergeCell ref="I30:J30"/>
    <mergeCell ref="I20:J20"/>
    <mergeCell ref="I22:J22"/>
    <mergeCell ref="D26:F26"/>
    <mergeCell ref="I26:J26"/>
    <mergeCell ref="D20:F20"/>
    <mergeCell ref="D21:F21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8:F18"/>
    <mergeCell ref="D17:F17"/>
    <mergeCell ref="I17:J17"/>
    <mergeCell ref="I18:J18"/>
    <mergeCell ref="D19:F19"/>
    <mergeCell ref="I19:J19"/>
  </mergeCells>
  <conditionalFormatting sqref="C25">
    <cfRule type="duplicateValues" dxfId="205" priority="1"/>
  </conditionalFormatting>
  <conditionalFormatting sqref="C26:C27">
    <cfRule type="duplicateValues" dxfId="204" priority="2"/>
  </conditionalFormatting>
  <conditionalFormatting sqref="C29">
    <cfRule type="duplicateValues" dxfId="203" priority="1432"/>
  </conditionalFormatting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3B879-C1DF-45D7-899C-A321A606473C}">
  <sheetPr codeName="Sheet74">
    <tabColor rgb="FFFFC000"/>
    <pageSetUpPr fitToPage="1"/>
  </sheetPr>
  <dimension ref="B1:O1048538"/>
  <sheetViews>
    <sheetView topLeftCell="B31" zoomScaleNormal="100" workbookViewId="0">
      <selection activeCell="K42" sqref="K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7.54296875" style="19" customWidth="1"/>
    <col min="9" max="9" width="1.54296875" style="19" customWidth="1"/>
    <col min="10" max="10" width="15.54296875" style="19" customWidth="1"/>
    <col min="11" max="11" width="12.26953125" style="19" customWidth="1"/>
    <col min="12" max="12" width="12.54296875" style="19" customWidth="1"/>
    <col min="13" max="13" width="16.36328125" style="19" customWidth="1"/>
    <col min="14" max="16384" width="12.54296875" style="19"/>
  </cols>
  <sheetData>
    <row r="1" spans="2:15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5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5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5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5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5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5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5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178</v>
      </c>
      <c r="J10" s="24" t="s">
        <v>27</v>
      </c>
      <c r="K10" s="464">
        <v>202504226</v>
      </c>
      <c r="L10" s="465"/>
    </row>
    <row r="11" spans="2:15" ht="20.149999999999999" customHeight="1" x14ac:dyDescent="0.45">
      <c r="B11" s="466"/>
      <c r="C11" s="467"/>
      <c r="D11" s="468"/>
      <c r="E11" s="25"/>
      <c r="F11" s="469" t="str">
        <f>VLOOKUP(H10,'Delivery Location'!A$4:N$466,2,0)</f>
        <v>滨海甜品                                                      Blk 248, Simei St 5. Singapore 520248</v>
      </c>
      <c r="G11" s="470"/>
      <c r="H11" s="471"/>
      <c r="J11" s="26" t="s">
        <v>9</v>
      </c>
      <c r="K11" s="478">
        <v>45756</v>
      </c>
      <c r="L11" s="479"/>
    </row>
    <row r="12" spans="2:15" ht="20.149999999999999" customHeight="1" x14ac:dyDescent="0.45">
      <c r="B12" s="480"/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5" ht="20.149999999999999" customHeight="1" x14ac:dyDescent="0.45">
      <c r="B13" s="557"/>
      <c r="C13" s="558"/>
      <c r="D13" s="559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53" t="s">
        <v>1081</v>
      </c>
      <c r="O13" s="18"/>
    </row>
    <row r="14" spans="2:15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5" ht="18" customHeight="1" thickBot="1" x14ac:dyDescent="0.5">
      <c r="B15" s="50"/>
      <c r="C15" s="51"/>
      <c r="D15" s="52"/>
      <c r="E15" s="21"/>
      <c r="F15" s="475"/>
      <c r="G15" s="476"/>
      <c r="H15" s="477"/>
      <c r="J15" s="27" t="s">
        <v>11</v>
      </c>
      <c r="K15" s="495"/>
      <c r="L15" s="496"/>
    </row>
    <row r="16" spans="2:15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2" t="s">
        <v>702</v>
      </c>
      <c r="D18" s="487" t="str">
        <f>VLOOKUP(C18,'Sales Master'!B$3:D$537,2,)</f>
        <v>Durian Puree 榴莲酱</v>
      </c>
      <c r="E18" s="487"/>
      <c r="F18" s="487"/>
      <c r="G18" s="76">
        <v>1</v>
      </c>
      <c r="H18" s="85" t="str">
        <f>VLOOKUP(C18,'Sales Master'!$B$3:$F$2489,5,0)</f>
        <v>1 KG/ Box盒</v>
      </c>
      <c r="I18" s="484" t="str">
        <f>VLOOKUP(C18,'Sales Master'!$B$3:$E$2489,4,0)</f>
        <v>DO!</v>
      </c>
      <c r="J18" s="484"/>
      <c r="K18" s="99">
        <f>VLOOKUP(C18,'Sales Master'!B$3:N$537,13,0)</f>
        <v>9</v>
      </c>
      <c r="L18" s="84">
        <f t="shared" ref="L18:L26" si="0">K18*G18</f>
        <v>9</v>
      </c>
      <c r="M18" s="65"/>
    </row>
    <row r="19" spans="2:13" ht="20.149999999999999" customHeight="1" x14ac:dyDescent="0.45">
      <c r="B19" s="29"/>
      <c r="C19" s="212" t="s">
        <v>714</v>
      </c>
      <c r="D19" s="487" t="str">
        <f>VLOOKUP(C19,'Sales Master'!B$3:D$537,2,)</f>
        <v>Chendol 浆咯 (陈顺美）</v>
      </c>
      <c r="E19" s="487"/>
      <c r="F19" s="487"/>
      <c r="G19" s="76">
        <v>1</v>
      </c>
      <c r="H19" s="85" t="str">
        <f>VLOOKUP(C19,'Sales Master'!$B$3:$F$2489,5,0)</f>
        <v>3 KG</v>
      </c>
      <c r="I19" s="484" t="str">
        <f>VLOOKUP(C19,'Sales Master'!$B$3:$E$2489,4,0)</f>
        <v>TSM</v>
      </c>
      <c r="J19" s="484"/>
      <c r="K19" s="99">
        <f>VLOOKUP(C19,'Sales Master'!B$3:N$537,13,0)</f>
        <v>10</v>
      </c>
      <c r="L19" s="84">
        <f t="shared" si="0"/>
        <v>10</v>
      </c>
      <c r="M19" s="65"/>
    </row>
    <row r="20" spans="2:13" ht="20.149999999999999" customHeight="1" x14ac:dyDescent="0.45">
      <c r="B20" s="29"/>
      <c r="C20" s="244" t="s">
        <v>744</v>
      </c>
      <c r="D20" s="487" t="str">
        <f>VLOOKUP(C20,'Sales Master'!B$3:D$537,2,)</f>
        <v>Jelly Powder 文头雪粉 (Carrageenan)</v>
      </c>
      <c r="E20" s="487"/>
      <c r="F20" s="487"/>
      <c r="G20" s="76">
        <v>1</v>
      </c>
      <c r="H20" s="85" t="str">
        <f>VLOOKUP(C20,'Sales Master'!$B$3:$F$2489,5,0)</f>
        <v>1 kg</v>
      </c>
      <c r="I20" s="484" t="str">
        <f>VLOOKUP(C20,'Sales Master'!$B$3:$E$2489,4,0)</f>
        <v>500/4000</v>
      </c>
      <c r="J20" s="484"/>
      <c r="K20" s="99">
        <f>VLOOKUP(C20,'Sales Master'!B$3:N$537,13,0)</f>
        <v>35</v>
      </c>
      <c r="L20" s="84">
        <f t="shared" si="0"/>
        <v>35</v>
      </c>
      <c r="M20" s="65"/>
    </row>
    <row r="21" spans="2:13" ht="20.149999999999999" customHeight="1" x14ac:dyDescent="0.45">
      <c r="B21" s="29"/>
      <c r="C21" s="212" t="s">
        <v>804</v>
      </c>
      <c r="D21" s="487" t="str">
        <f>VLOOKUP(C21,'Sales Master'!B$3:D$537,2,)</f>
        <v>Atap Seeds in Syrup 亚嗒子</v>
      </c>
      <c r="E21" s="487"/>
      <c r="F21" s="487"/>
      <c r="G21" s="76">
        <v>1</v>
      </c>
      <c r="H21" s="85" t="str">
        <f>VLOOKUP(C21,'Sales Master'!$B$3:$F$2489,5,0)</f>
        <v>NW(2.1:0.9) 3kg/ Bag包</v>
      </c>
      <c r="I21" s="484" t="str">
        <f>VLOOKUP(C21,'Sales Master'!$B$3:$E$2489,4,0)</f>
        <v>DO!</v>
      </c>
      <c r="J21" s="484"/>
      <c r="K21" s="99">
        <f>VLOOKUP(C21,'Sales Master'!B$3:N$537,13,0)</f>
        <v>13</v>
      </c>
      <c r="L21" s="84">
        <f t="shared" si="0"/>
        <v>13</v>
      </c>
      <c r="M21" s="65"/>
    </row>
    <row r="22" spans="2:13" ht="20.149999999999999" customHeight="1" x14ac:dyDescent="0.45">
      <c r="B22" s="29"/>
      <c r="C22" s="244" t="s">
        <v>810</v>
      </c>
      <c r="D22" s="487" t="str">
        <f>VLOOKUP(C22,'Sales Master'!B$3:D$537,2,)</f>
        <v>GingKo Nut (Peel off) 白果仁</v>
      </c>
      <c r="E22" s="487"/>
      <c r="F22" s="487"/>
      <c r="G22" s="76">
        <v>3</v>
      </c>
      <c r="H22" s="85" t="str">
        <f>VLOOKUP(C22,'Sales Master'!$B$3:$F$2489,5,0)</f>
        <v>1 KG (500 GM X 2)</v>
      </c>
      <c r="I22" s="484" t="str">
        <f>VLOOKUP(C22,'Sales Master'!$B$3:$E$2489,4,0)</f>
        <v>-</v>
      </c>
      <c r="J22" s="484"/>
      <c r="K22" s="99">
        <f>VLOOKUP(C22,'Sales Master'!B$3:N$537,13,0)</f>
        <v>5</v>
      </c>
      <c r="L22" s="84">
        <f t="shared" si="0"/>
        <v>15</v>
      </c>
      <c r="M22" s="65"/>
    </row>
    <row r="23" spans="2:13" ht="20.149999999999999" customHeight="1" x14ac:dyDescent="0.45">
      <c r="B23" s="29"/>
      <c r="C23" s="244" t="s">
        <v>812</v>
      </c>
      <c r="D23" s="487" t="str">
        <f>VLOOKUP(C23,'Sales Master'!B$3:D$537,2,)</f>
        <v>Red Bean 红豆 (5.5 mm)</v>
      </c>
      <c r="E23" s="487"/>
      <c r="F23" s="487"/>
      <c r="G23" s="76">
        <v>1</v>
      </c>
      <c r="H23" s="85" t="str">
        <f>VLOOKUP(C23,'Sales Master'!$B$3:$F$2489,5,0)</f>
        <v>5 KG</v>
      </c>
      <c r="I23" s="484" t="str">
        <f>VLOOKUP(C23,'Sales Master'!$B$3:$E$2489,4,0)</f>
        <v>-</v>
      </c>
      <c r="J23" s="484"/>
      <c r="K23" s="99">
        <f>VLOOKUP(C23,'Sales Master'!B$3:N$537,13,0)</f>
        <v>19.5</v>
      </c>
      <c r="L23" s="84">
        <f t="shared" si="0"/>
        <v>19.5</v>
      </c>
      <c r="M23" s="65"/>
    </row>
    <row r="24" spans="2:13" ht="20.149999999999999" customHeight="1" x14ac:dyDescent="0.45">
      <c r="B24" s="29"/>
      <c r="C24" s="244" t="s">
        <v>822</v>
      </c>
      <c r="D24" s="487" t="str">
        <f>VLOOKUP(C24,'Sales Master'!B$3:D$537,2,)</f>
        <v>Chia Tao 赤豆</v>
      </c>
      <c r="E24" s="487"/>
      <c r="F24" s="487"/>
      <c r="G24" s="76">
        <v>2</v>
      </c>
      <c r="H24" s="85" t="str">
        <f>VLOOKUP(C24,'Sales Master'!$B$3:$F$2489,5,0)</f>
        <v>5 KG</v>
      </c>
      <c r="I24" s="484" t="str">
        <f>VLOOKUP(C24,'Sales Master'!$B$3:$E$2489,4,0)</f>
        <v>-</v>
      </c>
      <c r="J24" s="484"/>
      <c r="K24" s="99">
        <f>VLOOKUP(C24,'Sales Master'!B$3:N$537,13,0)</f>
        <v>18</v>
      </c>
      <c r="L24" s="84">
        <f t="shared" si="0"/>
        <v>36</v>
      </c>
      <c r="M24" s="65"/>
    </row>
    <row r="25" spans="2:13" ht="20.149999999999999" customHeight="1" x14ac:dyDescent="0.45">
      <c r="B25" s="29"/>
      <c r="C25" s="244" t="s">
        <v>825</v>
      </c>
      <c r="D25" s="487" t="str">
        <f>VLOOKUP(C25,'Sales Master'!B$3:D$537,2,)</f>
        <v>Green Bean 绿豆</v>
      </c>
      <c r="E25" s="487"/>
      <c r="F25" s="487"/>
      <c r="G25" s="76">
        <v>2</v>
      </c>
      <c r="H25" s="85" t="str">
        <f>VLOOKUP(C25,'Sales Master'!$B$3:$F$2489,5,0)</f>
        <v>5 KG</v>
      </c>
      <c r="I25" s="484" t="str">
        <f>VLOOKUP(C25,'Sales Master'!$B$3:$E$2489,4,0)</f>
        <v>-</v>
      </c>
      <c r="J25" s="484"/>
      <c r="K25" s="99">
        <f>VLOOKUP(C25,'Sales Master'!B$3:N$537,13,0)</f>
        <v>14</v>
      </c>
      <c r="L25" s="84">
        <f t="shared" si="0"/>
        <v>28</v>
      </c>
      <c r="M25" s="65"/>
    </row>
    <row r="26" spans="2:13" ht="20.149999999999999" customHeight="1" x14ac:dyDescent="0.45">
      <c r="B26" s="29"/>
      <c r="C26" s="244" t="s">
        <v>837</v>
      </c>
      <c r="D26" s="487" t="str">
        <f>VLOOKUP(C26,'Sales Master'!B$3:D$537,2,)</f>
        <v>Black Glutinous Rice 黑糯米</v>
      </c>
      <c r="E26" s="487"/>
      <c r="F26" s="487"/>
      <c r="G26" s="76">
        <v>1</v>
      </c>
      <c r="H26" s="85" t="str">
        <f>VLOOKUP(C26,'Sales Master'!$B$3:$F$2489,5,0)</f>
        <v>5 KGS</v>
      </c>
      <c r="I26" s="484" t="str">
        <f>VLOOKUP(C26,'Sales Master'!$B$3:$E$2489,4,0)</f>
        <v>-</v>
      </c>
      <c r="J26" s="484"/>
      <c r="K26" s="99">
        <f>VLOOKUP(C26,'Sales Master'!B$3:N$537,13,0)</f>
        <v>18</v>
      </c>
      <c r="L26" s="84">
        <f t="shared" si="0"/>
        <v>18</v>
      </c>
      <c r="M26" s="65"/>
    </row>
    <row r="27" spans="2:13" ht="20.149999999999999" customHeight="1" x14ac:dyDescent="0.45">
      <c r="B27" s="29"/>
      <c r="C27" s="212" t="s">
        <v>853</v>
      </c>
      <c r="D27" s="487" t="str">
        <f>VLOOKUP(C27,'Sales Master'!B$3:D$537,2,)</f>
        <v>Small Sago 小丸</v>
      </c>
      <c r="E27" s="487"/>
      <c r="F27" s="487"/>
      <c r="G27" s="76">
        <v>1</v>
      </c>
      <c r="H27" s="85" t="str">
        <f>VLOOKUP(C27,'Sales Master'!$B$3:$F$2489,5,0)</f>
        <v>5 KG</v>
      </c>
      <c r="I27" s="484" t="str">
        <f>VLOOKUP(C27,'Sales Master'!$B$3:$E$2489,4,0)</f>
        <v>-</v>
      </c>
      <c r="J27" s="484"/>
      <c r="K27" s="99">
        <f>VLOOKUP(C27,'Sales Master'!B$3:N$537,13,0)</f>
        <v>10.5</v>
      </c>
      <c r="L27" s="84">
        <f t="shared" ref="L27:L29" si="1">K27*G27</f>
        <v>10.5</v>
      </c>
      <c r="M27" s="65"/>
    </row>
    <row r="28" spans="2:13" ht="20.149999999999999" customHeight="1" x14ac:dyDescent="0.45">
      <c r="B28" s="29"/>
      <c r="C28" s="212" t="s">
        <v>856</v>
      </c>
      <c r="D28" s="487" t="str">
        <f>VLOOKUP(C28,'Sales Master'!B$3:D$537,2,)</f>
        <v>Dried Longan 龙眼干</v>
      </c>
      <c r="E28" s="487"/>
      <c r="F28" s="487"/>
      <c r="G28" s="76">
        <v>2</v>
      </c>
      <c r="H28" s="85" t="str">
        <f>VLOOKUP(C28,'Sales Master'!$B$3:$F$2489,5,0)</f>
        <v>1 kg/ Pkt包</v>
      </c>
      <c r="I28" s="484" t="str">
        <f>VLOOKUP(C28,'Sales Master'!$B$3:$E$2489,4,0)</f>
        <v>TL</v>
      </c>
      <c r="J28" s="484"/>
      <c r="K28" s="99">
        <f>VLOOKUP(C28,'Sales Master'!B$3:N$537,13,0)</f>
        <v>13</v>
      </c>
      <c r="L28" s="84">
        <f t="shared" si="1"/>
        <v>26</v>
      </c>
      <c r="M28" s="65"/>
    </row>
    <row r="29" spans="2:13" ht="20.149999999999999" customHeight="1" x14ac:dyDescent="0.45">
      <c r="B29" s="29"/>
      <c r="C29" s="212" t="s">
        <v>876</v>
      </c>
      <c r="D29" s="487" t="str">
        <f>VLOOKUP(C29,'Sales Master'!B$3:D$537,2,)</f>
        <v>Bean Curd Sheet 腐竹</v>
      </c>
      <c r="E29" s="487"/>
      <c r="F29" s="487"/>
      <c r="G29" s="76">
        <v>10</v>
      </c>
      <c r="H29" s="85" t="str">
        <f>VLOOKUP(C29,'Sales Master'!$B$3:$F$2489,5,0)</f>
        <v xml:space="preserve">150g/pkt </v>
      </c>
      <c r="I29" s="484" t="str">
        <f>VLOOKUP(C29,'Sales Master'!$B$3:$E$2489,4,0)</f>
        <v>生记</v>
      </c>
      <c r="J29" s="484"/>
      <c r="K29" s="99">
        <f>VLOOKUP(C29,'Sales Master'!B$3:N$537,13,0)</f>
        <v>3.1</v>
      </c>
      <c r="L29" s="84">
        <f t="shared" si="1"/>
        <v>31</v>
      </c>
      <c r="M29" s="65"/>
    </row>
    <row r="30" spans="2:13" ht="20.149999999999999" customHeight="1" x14ac:dyDescent="0.45">
      <c r="B30" s="29"/>
      <c r="C30" s="212" t="s">
        <v>923</v>
      </c>
      <c r="D30" s="487" t="str">
        <f>VLOOKUP(C30,'Sales Master'!B$3:D$537,2,)</f>
        <v>Sea Coconut 海底椰</v>
      </c>
      <c r="E30" s="487"/>
      <c r="F30" s="487"/>
      <c r="G30" s="76">
        <v>1</v>
      </c>
      <c r="H30" s="85" t="str">
        <f>VLOOKUP(C30,'Sales Master'!$B$3:$F$2489,5,0)</f>
        <v>1 Can X A10</v>
      </c>
      <c r="I30" s="484" t="str">
        <f>VLOOKUP(C30,'Sales Master'!$B$3:$E$2489,4,0)</f>
        <v>Chefs</v>
      </c>
      <c r="J30" s="484"/>
      <c r="K30" s="99">
        <f>VLOOKUP(C30,'Sales Master'!B$3:N$537,13,0)</f>
        <v>19.5</v>
      </c>
      <c r="L30" s="84">
        <f t="shared" ref="L30:L34" si="2">K30*G30</f>
        <v>19.5</v>
      </c>
      <c r="M30" s="65"/>
    </row>
    <row r="31" spans="2:13" ht="20.149999999999999" customHeight="1" x14ac:dyDescent="0.45">
      <c r="B31" s="29"/>
      <c r="C31" s="212" t="s">
        <v>925</v>
      </c>
      <c r="D31" s="487" t="str">
        <f>VLOOKUP(C31,'Sales Master'!B$3:D$537,2,)</f>
        <v>Nata 椰果芊 15mm</v>
      </c>
      <c r="E31" s="487"/>
      <c r="F31" s="487"/>
      <c r="G31" s="76">
        <v>1</v>
      </c>
      <c r="H31" s="85" t="str">
        <f>VLOOKUP(C31,'Sales Master'!$B$3:$F$2489,5,0)</f>
        <v>1 Can X A10 /罐</v>
      </c>
      <c r="I31" s="484" t="str">
        <f>VLOOKUP(C31,'Sales Master'!$B$3:$E$2489,4,0)</f>
        <v>Chefs</v>
      </c>
      <c r="J31" s="484"/>
      <c r="K31" s="99">
        <f>VLOOKUP(C31,'Sales Master'!B$3:N$537,13,0)</f>
        <v>10</v>
      </c>
      <c r="L31" s="84">
        <f t="shared" si="2"/>
        <v>10</v>
      </c>
      <c r="M31" s="65"/>
    </row>
    <row r="32" spans="2:13" ht="20.149999999999999" customHeight="1" x14ac:dyDescent="0.45">
      <c r="B32" s="29"/>
      <c r="C32" s="212" t="s">
        <v>930</v>
      </c>
      <c r="D32" s="487" t="str">
        <f>VLOOKUP(C32,'Sales Master'!B$3:D$537,2,)</f>
        <v>Longan in Syrup 龙眼</v>
      </c>
      <c r="E32" s="487"/>
      <c r="F32" s="487"/>
      <c r="G32" s="76">
        <v>1</v>
      </c>
      <c r="H32" s="85" t="str">
        <f>VLOOKUP(C32,'Sales Master'!$B$3:$F$2489,5,0)</f>
        <v>(565gm x 12)/ Ctn箱</v>
      </c>
      <c r="I32" s="484" t="str">
        <f>VLOOKUP(C32,'Sales Master'!$B$3:$E$2489,4,0)</f>
        <v>YiFong</v>
      </c>
      <c r="J32" s="484"/>
      <c r="K32" s="99">
        <f>VLOOKUP(C32,'Sales Master'!B$3:N$537,13,0)</f>
        <v>26</v>
      </c>
      <c r="L32" s="84">
        <f t="shared" si="2"/>
        <v>26</v>
      </c>
      <c r="M32" s="65"/>
    </row>
    <row r="33" spans="2:13" ht="20.149999999999999" customHeight="1" x14ac:dyDescent="0.45">
      <c r="B33" s="29"/>
      <c r="C33" s="212" t="s">
        <v>987</v>
      </c>
      <c r="D33" s="487" t="str">
        <f>VLOOKUP(C33,'Sales Master'!B$3:D$537,2,)</f>
        <v>Brown Sugar 黑糖</v>
      </c>
      <c r="E33" s="487"/>
      <c r="F33" s="487"/>
      <c r="G33" s="76">
        <v>1</v>
      </c>
      <c r="H33" s="85" t="str">
        <f>VLOOKUP(C33,'Sales Master'!$B$3:$F$2489,5,0)</f>
        <v>6 KG</v>
      </c>
      <c r="I33" s="484" t="str">
        <f>VLOOKUP(C33,'Sales Master'!$B$3:$E$2489,4,0)</f>
        <v>Star</v>
      </c>
      <c r="J33" s="484"/>
      <c r="K33" s="99">
        <f>VLOOKUP(C33,'Sales Master'!B$3:N$537,13,0)</f>
        <v>16.5</v>
      </c>
      <c r="L33" s="84">
        <f t="shared" si="2"/>
        <v>16.5</v>
      </c>
      <c r="M33" s="65"/>
    </row>
    <row r="34" spans="2:13" ht="20.149999999999999" customHeight="1" x14ac:dyDescent="0.45">
      <c r="B34" s="29"/>
      <c r="C34" s="212" t="s">
        <v>990</v>
      </c>
      <c r="D34" s="487" t="str">
        <f>VLOOKUP(C34,'Sales Master'!B$3:D$537,2,)</f>
        <v>Fine Sugar 白糖</v>
      </c>
      <c r="E34" s="487"/>
      <c r="F34" s="487"/>
      <c r="G34" s="76">
        <v>2</v>
      </c>
      <c r="H34" s="85" t="str">
        <f>VLOOKUP(C34,'Sales Master'!$B$3:$F$2489,5,0)</f>
        <v>25 KGS</v>
      </c>
      <c r="I34" s="484" t="str">
        <f>VLOOKUP(C34,'Sales Master'!$B$3:$E$2489,4,0)</f>
        <v>MITR PHOL/ 蜜朋</v>
      </c>
      <c r="J34" s="484"/>
      <c r="K34" s="99">
        <f>VLOOKUP(C34,'Sales Master'!B$3:N$537,13,0)</f>
        <v>31.5</v>
      </c>
      <c r="L34" s="84">
        <f t="shared" si="2"/>
        <v>63</v>
      </c>
      <c r="M34" s="65"/>
    </row>
    <row r="35" spans="2:13" ht="20.149999999999999" customHeight="1" x14ac:dyDescent="0.45">
      <c r="B35" s="29"/>
      <c r="C35" s="212"/>
      <c r="G35" s="76"/>
      <c r="H35" s="85"/>
      <c r="I35" s="208"/>
      <c r="J35" s="208"/>
      <c r="K35" s="99"/>
      <c r="L35" s="84"/>
      <c r="M35" s="65"/>
    </row>
    <row r="36" spans="2:13" ht="20.149999999999999" customHeight="1" x14ac:dyDescent="0.45">
      <c r="B36" s="29"/>
      <c r="C36" s="212"/>
      <c r="G36" s="76"/>
      <c r="H36" s="85"/>
      <c r="I36" s="208"/>
      <c r="J36" s="208"/>
      <c r="K36" s="99"/>
      <c r="L36" s="84"/>
      <c r="M36" s="65"/>
    </row>
    <row r="37" spans="2:13" ht="20.149999999999999" customHeight="1" x14ac:dyDescent="0.45">
      <c r="B37" s="29"/>
      <c r="C37" s="149" t="s">
        <v>2296</v>
      </c>
      <c r="D37" s="403"/>
      <c r="E37" s="403"/>
      <c r="F37" s="403"/>
      <c r="G37" s="76"/>
      <c r="H37" s="186"/>
      <c r="I37" s="484"/>
      <c r="J37" s="484"/>
      <c r="K37" s="190"/>
      <c r="L37" s="84"/>
      <c r="M37" s="65"/>
    </row>
    <row r="38" spans="2:13" ht="20.149999999999999" customHeight="1" x14ac:dyDescent="0.45">
      <c r="B38" s="29"/>
      <c r="C38" s="212" t="s">
        <v>744</v>
      </c>
      <c r="D38" s="553" t="str">
        <f>VLOOKUP(C38,'Sales Master'!B$3:D$537,2,)</f>
        <v>Jelly Powder 文头雪粉 (Carrageenan)</v>
      </c>
      <c r="E38" s="553"/>
      <c r="F38" s="553"/>
      <c r="G38" s="17">
        <v>1</v>
      </c>
      <c r="H38" s="183" t="str">
        <f>VLOOKUP(C38,'Sales Master'!$B$3:$F$2420,5,0)</f>
        <v>1 kg</v>
      </c>
      <c r="I38" s="513" t="str">
        <f>VLOOKUP(C38,'Sales Master'!$B$3:$E$2420,4,0)</f>
        <v>500/4000</v>
      </c>
      <c r="J38" s="513"/>
      <c r="K38" s="190">
        <v>38</v>
      </c>
      <c r="L38" s="84"/>
      <c r="M38" s="65"/>
    </row>
    <row r="39" spans="2:13" ht="20.149999999999999" customHeight="1" x14ac:dyDescent="0.45">
      <c r="B39" s="29"/>
      <c r="C39" s="212" t="s">
        <v>841</v>
      </c>
      <c r="D39" s="446" t="str">
        <f>VLOOKUP(C39,'Sales Master'!B$3:D$537,2,)</f>
        <v>White Glutinous Rice 白糯米</v>
      </c>
      <c r="E39" s="446"/>
      <c r="F39" s="446"/>
      <c r="G39" s="76">
        <v>1</v>
      </c>
      <c r="H39" s="183" t="str">
        <f>VLOOKUP(C39,'Sales Master'!$B$3:$F$2420,5,0)</f>
        <v>5 KG</v>
      </c>
      <c r="I39" s="513" t="str">
        <f>VLOOKUP(C39,'Sales Master'!$B$3:$E$2420,4,0)</f>
        <v>-</v>
      </c>
      <c r="J39" s="513"/>
      <c r="K39" s="190">
        <v>11</v>
      </c>
      <c r="L39" s="84"/>
      <c r="M39" s="65"/>
    </row>
    <row r="40" spans="2:13" ht="20.149999999999999" customHeight="1" x14ac:dyDescent="0.45">
      <c r="B40" s="29"/>
      <c r="C40" s="212" t="s">
        <v>844</v>
      </c>
      <c r="D40" s="446" t="str">
        <f>VLOOKUP(C40,'Sales Master'!B$3:D$537,2,)</f>
        <v>White Wheat 大麦</v>
      </c>
      <c r="E40" s="446"/>
      <c r="F40" s="446"/>
      <c r="G40" s="76">
        <v>1</v>
      </c>
      <c r="H40" s="183" t="str">
        <f>VLOOKUP(C40,'Sales Master'!$B$3:$F$2420,5,0)</f>
        <v>10 PKT/ Bag</v>
      </c>
      <c r="I40" s="513" t="str">
        <f>VLOOKUP(C40,'Sales Master'!$B$3:$E$2420,4,0)</f>
        <v>-</v>
      </c>
      <c r="J40" s="513"/>
      <c r="K40" s="190">
        <v>11</v>
      </c>
      <c r="L40" s="84"/>
      <c r="M40" s="65"/>
    </row>
    <row r="41" spans="2:13" ht="20.149999999999999" customHeight="1" x14ac:dyDescent="0.45">
      <c r="B41" s="29"/>
      <c r="C41" s="212" t="s">
        <v>849</v>
      </c>
      <c r="D41" s="446" t="str">
        <f>VLOOKUP(C41,'Sales Master'!B$3:D$537,2,)</f>
        <v>Big Sago 大丸</v>
      </c>
      <c r="E41" s="446"/>
      <c r="F41" s="446"/>
      <c r="G41" s="76">
        <v>1</v>
      </c>
      <c r="H41" s="183" t="str">
        <f>VLOOKUP(C41,'Sales Master'!$B$3:$F$2420,5,0)</f>
        <v>5 KG</v>
      </c>
      <c r="I41" s="513" t="str">
        <f>VLOOKUP(C41,'Sales Master'!$B$3:$E$2420,4,0)</f>
        <v>-</v>
      </c>
      <c r="J41" s="513"/>
      <c r="K41" s="190">
        <v>12</v>
      </c>
      <c r="L41" s="84"/>
      <c r="M41" s="65"/>
    </row>
    <row r="42" spans="2:13" ht="20.149999999999999" customHeight="1" x14ac:dyDescent="0.45">
      <c r="B42" s="29"/>
      <c r="C42" s="212" t="s">
        <v>856</v>
      </c>
      <c r="D42" s="446" t="str">
        <f>VLOOKUP(C42,'Sales Master'!B$3:D$537,2,)</f>
        <v>Dried Longan 龙眼干</v>
      </c>
      <c r="E42" s="446"/>
      <c r="F42" s="446"/>
      <c r="G42" s="76">
        <v>1</v>
      </c>
      <c r="H42" s="183" t="str">
        <f>VLOOKUP(C42,'Sales Master'!$B$3:$F$2420,5,0)</f>
        <v>1 kg/ Pkt包</v>
      </c>
      <c r="I42" s="513" t="str">
        <f>VLOOKUP(C42,'Sales Master'!$B$3:$E$2420,4,0)</f>
        <v>TL</v>
      </c>
      <c r="J42" s="513"/>
      <c r="K42" s="190">
        <v>14</v>
      </c>
      <c r="L42" s="84"/>
      <c r="M42" s="65"/>
    </row>
    <row r="43" spans="2:13" ht="20.149999999999999" customHeight="1" x14ac:dyDescent="0.45">
      <c r="B43" s="104"/>
      <c r="C43" s="129"/>
      <c r="D43" s="45"/>
      <c r="E43" s="45"/>
      <c r="F43" s="45"/>
      <c r="G43" s="129"/>
      <c r="H43" s="124"/>
      <c r="I43" s="124"/>
      <c r="J43" s="124"/>
      <c r="K43" s="108"/>
      <c r="L43" s="107"/>
      <c r="M43" s="65"/>
    </row>
    <row r="44" spans="2:13" ht="20.149999999999999" customHeight="1" thickBot="1" x14ac:dyDescent="0.5">
      <c r="B44" s="36"/>
      <c r="G44" s="65"/>
      <c r="L44" s="37"/>
    </row>
    <row r="45" spans="2:13" ht="20.149999999999999" customHeight="1" x14ac:dyDescent="0.45">
      <c r="B45" s="10" t="s">
        <v>16</v>
      </c>
      <c r="C45" s="6"/>
      <c r="D45" s="6"/>
      <c r="E45" s="6"/>
      <c r="F45" s="6"/>
      <c r="G45" s="135"/>
      <c r="H45" s="6"/>
      <c r="I45" s="6"/>
      <c r="J45" s="489" t="s">
        <v>13</v>
      </c>
      <c r="K45" s="490"/>
      <c r="L45" s="38">
        <f>SUM(L18:L44)</f>
        <v>386</v>
      </c>
      <c r="M45" s="63">
        <f>SUM(P18:P44)</f>
        <v>0</v>
      </c>
    </row>
    <row r="46" spans="2:13" ht="20.149999999999999" customHeight="1" x14ac:dyDescent="0.45">
      <c r="B46" s="10" t="s">
        <v>17</v>
      </c>
      <c r="C46" s="6"/>
      <c r="D46" s="6"/>
      <c r="E46" s="6"/>
      <c r="F46" s="6"/>
      <c r="G46" s="135"/>
      <c r="H46" s="6"/>
      <c r="I46" s="6"/>
      <c r="J46" s="39" t="s">
        <v>20</v>
      </c>
      <c r="K46" s="40"/>
      <c r="L46" s="41">
        <v>0</v>
      </c>
    </row>
    <row r="47" spans="2:13" ht="20.149999999999999" customHeight="1" x14ac:dyDescent="0.45">
      <c r="B47" s="10" t="s">
        <v>18</v>
      </c>
      <c r="C47" s="6"/>
      <c r="D47" s="6"/>
      <c r="E47" s="6"/>
      <c r="F47" s="6"/>
      <c r="G47" s="6"/>
      <c r="H47" s="6"/>
      <c r="I47" s="6"/>
      <c r="J47" s="491" t="s">
        <v>19</v>
      </c>
      <c r="K47" s="492"/>
      <c r="L47" s="41">
        <f>L45-L46</f>
        <v>386</v>
      </c>
    </row>
    <row r="48" spans="2:13" ht="20.149999999999999" customHeight="1" x14ac:dyDescent="0.45">
      <c r="B48" s="10" t="s">
        <v>22</v>
      </c>
      <c r="C48" s="6"/>
      <c r="D48" s="6"/>
      <c r="E48" s="6"/>
      <c r="F48" s="6"/>
      <c r="G48" s="6"/>
      <c r="H48" s="6"/>
      <c r="I48" s="6"/>
      <c r="J48" s="102" t="s">
        <v>15</v>
      </c>
      <c r="K48" s="103">
        <f>'Sales Master'!$B$1</f>
        <v>0.09</v>
      </c>
      <c r="L48" s="42">
        <f>L47*K48</f>
        <v>34.74</v>
      </c>
    </row>
    <row r="49" spans="2:12" ht="20.149999999999999" customHeight="1" thickBot="1" x14ac:dyDescent="0.5">
      <c r="B49" s="10" t="s">
        <v>676</v>
      </c>
      <c r="C49" s="6"/>
      <c r="D49" s="6"/>
      <c r="E49" s="6"/>
      <c r="F49" s="6"/>
      <c r="G49" s="6" t="s">
        <v>439</v>
      </c>
      <c r="H49" s="6"/>
      <c r="I49" s="6"/>
      <c r="J49" s="485" t="s">
        <v>21</v>
      </c>
      <c r="K49" s="486"/>
      <c r="L49" s="43">
        <f>L47+L48</f>
        <v>420.74</v>
      </c>
    </row>
    <row r="50" spans="2:12" ht="20.149999999999999" customHeight="1" x14ac:dyDescent="0.45">
      <c r="B50" s="10" t="s">
        <v>24</v>
      </c>
      <c r="C50" s="6"/>
      <c r="D50" s="6"/>
      <c r="E50" s="6"/>
      <c r="F50" s="6"/>
      <c r="G50" s="6"/>
      <c r="H50" s="6"/>
      <c r="I50" s="6"/>
      <c r="L50" s="37"/>
    </row>
    <row r="51" spans="2:12" ht="20.149999999999999" customHeight="1" x14ac:dyDescent="0.45">
      <c r="B51" s="144" t="s">
        <v>666</v>
      </c>
      <c r="L51" s="37"/>
    </row>
    <row r="52" spans="2:12" ht="20.149999999999999" customHeight="1" x14ac:dyDescent="0.45">
      <c r="B52" s="144"/>
      <c r="L52" s="37"/>
    </row>
    <row r="53" spans="2:12" ht="20.149999999999999" customHeight="1" x14ac:dyDescent="0.45">
      <c r="B53" s="144"/>
      <c r="L53" s="37"/>
    </row>
    <row r="54" spans="2:12" ht="20.149999999999999" customHeight="1" x14ac:dyDescent="0.45">
      <c r="B54" s="144"/>
      <c r="L54" s="37"/>
    </row>
    <row r="55" spans="2:12" ht="20.149999999999999" customHeight="1" x14ac:dyDescent="0.45">
      <c r="B55" s="44"/>
      <c r="C55" s="45"/>
      <c r="D55" s="45"/>
      <c r="J55" s="45"/>
      <c r="K55" s="45"/>
      <c r="L55" s="46"/>
    </row>
    <row r="56" spans="2:12" ht="20.149999999999999" customHeight="1" x14ac:dyDescent="0.45">
      <c r="B56" s="36" t="s">
        <v>25</v>
      </c>
      <c r="J56" s="19" t="s">
        <v>26</v>
      </c>
      <c r="L56" s="37"/>
    </row>
    <row r="57" spans="2:12" ht="19" thickBot="1" x14ac:dyDescent="0.5">
      <c r="B57" s="47"/>
      <c r="C57" s="48"/>
      <c r="D57" s="48"/>
      <c r="E57" s="48"/>
      <c r="F57" s="48"/>
      <c r="G57" s="48"/>
      <c r="H57" s="48"/>
      <c r="I57" s="48"/>
      <c r="J57" s="48"/>
      <c r="K57" s="48"/>
      <c r="L57" s="49"/>
    </row>
    <row r="58" spans="2:12" ht="20.5" x14ac:dyDescent="0.45">
      <c r="F58" s="201"/>
    </row>
    <row r="1048538" spans="4:6" x14ac:dyDescent="0.45">
      <c r="D1048538" s="487"/>
      <c r="E1048538" s="487"/>
      <c r="F1048538" s="487"/>
    </row>
  </sheetData>
  <mergeCells count="63">
    <mergeCell ref="D41:F41"/>
    <mergeCell ref="I41:J41"/>
    <mergeCell ref="D42:F42"/>
    <mergeCell ref="I42:J42"/>
    <mergeCell ref="D38:F38"/>
    <mergeCell ref="I38:J38"/>
    <mergeCell ref="D39:F39"/>
    <mergeCell ref="I39:J39"/>
    <mergeCell ref="D40:F40"/>
    <mergeCell ref="I40:J40"/>
    <mergeCell ref="I37:J37"/>
    <mergeCell ref="D27:F27"/>
    <mergeCell ref="D34:F34"/>
    <mergeCell ref="I27:J27"/>
    <mergeCell ref="I34:J34"/>
    <mergeCell ref="D19:F19"/>
    <mergeCell ref="I19:J19"/>
    <mergeCell ref="D23:F23"/>
    <mergeCell ref="I23:J23"/>
    <mergeCell ref="I17:J17"/>
    <mergeCell ref="D17:F17"/>
    <mergeCell ref="I18:J18"/>
    <mergeCell ref="D18:F18"/>
    <mergeCell ref="D1048538:F1048538"/>
    <mergeCell ref="J49:K49"/>
    <mergeCell ref="J45:K45"/>
    <mergeCell ref="J47:K47"/>
    <mergeCell ref="D28:F28"/>
    <mergeCell ref="D29:F29"/>
    <mergeCell ref="I28:J28"/>
    <mergeCell ref="I29:J29"/>
    <mergeCell ref="D30:F30"/>
    <mergeCell ref="D31:F31"/>
    <mergeCell ref="D32:F32"/>
    <mergeCell ref="D33:F33"/>
    <mergeCell ref="I30:J30"/>
    <mergeCell ref="I31:J31"/>
    <mergeCell ref="I32:J32"/>
    <mergeCell ref="I33:J3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6:F26"/>
    <mergeCell ref="I26:J26"/>
    <mergeCell ref="D22:F22"/>
    <mergeCell ref="I22:J22"/>
    <mergeCell ref="D20:F20"/>
    <mergeCell ref="I20:J20"/>
    <mergeCell ref="D21:F21"/>
    <mergeCell ref="I21:J21"/>
    <mergeCell ref="D25:F25"/>
    <mergeCell ref="I24:J24"/>
    <mergeCell ref="I25:J25"/>
    <mergeCell ref="D24:F24"/>
  </mergeCells>
  <conditionalFormatting sqref="C20 C22:C26">
    <cfRule type="duplicateValues" dxfId="202" priority="2755"/>
  </conditionalFormatting>
  <conditionalFormatting sqref="C37">
    <cfRule type="duplicateValues" dxfId="201" priority="1"/>
  </conditionalFormatting>
  <pageMargins left="0.51181102362204722" right="0.39370078740157483" top="0" bottom="0" header="0" footer="0"/>
  <pageSetup paperSize="9" scale="75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2A2BF-8FDD-46A7-B8E8-019987385B4D}">
  <sheetPr codeName="Sheet142">
    <tabColor rgb="FFFFC000"/>
    <pageSetUpPr fitToPage="1"/>
  </sheetPr>
  <dimension ref="B1:R43"/>
  <sheetViews>
    <sheetView topLeftCell="B15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7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7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7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7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7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7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7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7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7" ht="19" thickBot="1" x14ac:dyDescent="0.5">
      <c r="B9" s="18"/>
    </row>
    <row r="10" spans="2:17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179</v>
      </c>
      <c r="J10" s="24" t="s">
        <v>27</v>
      </c>
      <c r="K10" s="464">
        <v>202504285</v>
      </c>
      <c r="L10" s="465"/>
    </row>
    <row r="11" spans="2:17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 - Dim Sum                                             735. Pasir Ris West Plaza.                                  Pasir Ris Street 72 #01-336.                               Singapore 510735          </v>
      </c>
      <c r="G11" s="470"/>
      <c r="H11" s="471"/>
      <c r="J11" s="26" t="s">
        <v>9</v>
      </c>
      <c r="K11" s="478">
        <v>45758</v>
      </c>
      <c r="L11" s="479"/>
    </row>
    <row r="12" spans="2:17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7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212"/>
      <c r="O13" s="487"/>
      <c r="P13" s="487"/>
      <c r="Q13" s="487"/>
    </row>
    <row r="14" spans="2:17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7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  <c r="N15" s="19" t="s">
        <v>1940</v>
      </c>
      <c r="O15" s="19" t="s">
        <v>1941</v>
      </c>
    </row>
    <row r="16" spans="2:17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8" ht="20.149999999999999" customHeight="1" x14ac:dyDescent="0.45">
      <c r="B18" s="29"/>
      <c r="C18" s="212" t="s">
        <v>1940</v>
      </c>
      <c r="D18" s="487" t="str">
        <f>VLOOKUP(C18,'Sales Master'!B$3:D$537,2,)</f>
        <v>Self Raising Flour 自发面粉</v>
      </c>
      <c r="E18" s="487"/>
      <c r="F18" s="487"/>
      <c r="G18" s="17">
        <v>12</v>
      </c>
      <c r="H18" s="186" t="str">
        <f>VLOOKUP(C18,'Sales Master'!$B$3:$F$2420,5,0)</f>
        <v>1KG/ Box</v>
      </c>
      <c r="I18" s="484" t="str">
        <f>VLOOKUP(C18,'Sales Master'!$B$3:$E$2420,4,0)</f>
        <v>BLUE KEY</v>
      </c>
      <c r="J18" s="484"/>
      <c r="K18" s="30">
        <f>VLOOKUP(C18,'Sales Master'!$B$3:$BH$537,59,0)</f>
        <v>2.5</v>
      </c>
      <c r="L18" s="64">
        <f>K18*G18</f>
        <v>30</v>
      </c>
      <c r="N18" s="145">
        <f>VLOOKUP(C18,'Sales Master'!$B$3:$DA$2279,104,0)</f>
        <v>1.7916666666666667</v>
      </c>
      <c r="O18" s="145">
        <f>K18-N18</f>
        <v>0.70833333333333326</v>
      </c>
      <c r="P18" s="145">
        <f>O18*G18</f>
        <v>8.5</v>
      </c>
      <c r="R18" s="19">
        <v>10</v>
      </c>
    </row>
    <row r="19" spans="2:18" ht="20.149999999999999" customHeight="1" x14ac:dyDescent="0.45">
      <c r="B19" s="29"/>
      <c r="C19" s="212" t="s">
        <v>1888</v>
      </c>
      <c r="D19" s="487" t="str">
        <f>VLOOKUP(C19,'Sales Master'!B$3:D$537,2,)</f>
        <v xml:space="preserve">Plain Flour 面粉 </v>
      </c>
      <c r="E19" s="487"/>
      <c r="F19" s="487"/>
      <c r="G19" s="17">
        <v>10</v>
      </c>
      <c r="H19" s="186" t="str">
        <f>VLOOKUP(C19,'Sales Master'!$B$3:$F$2420,5,0)</f>
        <v>1KG/ Pkt</v>
      </c>
      <c r="I19" s="484" t="str">
        <f>VLOOKUP(C19,'Sales Master'!$B$3:$E$2420,4,0)</f>
        <v>THREE EAGLE</v>
      </c>
      <c r="J19" s="484"/>
      <c r="K19" s="30">
        <f>VLOOKUP(C19,'Sales Master'!$B$3:$BH$537,59,0)</f>
        <v>1.3</v>
      </c>
      <c r="L19" s="64">
        <f>K19*G19</f>
        <v>13</v>
      </c>
      <c r="N19" s="145">
        <f>VLOOKUP(C19,'Sales Master'!$B$3:$DA$2279,104,0)</f>
        <v>1</v>
      </c>
      <c r="O19" s="145">
        <f>K19-N19</f>
        <v>0.30000000000000004</v>
      </c>
      <c r="P19" s="145">
        <f>O19*G19</f>
        <v>3.0000000000000004</v>
      </c>
      <c r="Q19" s="170"/>
    </row>
    <row r="20" spans="2:18" ht="20.149999999999999" customHeight="1" x14ac:dyDescent="0.45">
      <c r="B20" s="29"/>
      <c r="C20" s="212" t="s">
        <v>817</v>
      </c>
      <c r="D20" s="487" t="str">
        <f>VLOOKUP(C20,'Sales Master'!B$3:D$537,2,)</f>
        <v>Small Red Bean 小红豆</v>
      </c>
      <c r="E20" s="487"/>
      <c r="F20" s="487"/>
      <c r="G20" s="17">
        <v>1</v>
      </c>
      <c r="H20" s="186" t="str">
        <f>VLOOKUP(C20,'Sales Master'!$B$3:$F$2420,5,0)</f>
        <v>5 KG</v>
      </c>
      <c r="I20" s="484" t="str">
        <f>VLOOKUP(C20,'Sales Master'!$B$3:$E$2420,4,0)</f>
        <v>-</v>
      </c>
      <c r="J20" s="484"/>
      <c r="K20" s="30">
        <f>VLOOKUP(C20,'Sales Master'!$B$3:$BH$537,59,0)</f>
        <v>17.5</v>
      </c>
      <c r="L20" s="64">
        <f t="shared" ref="L20:L21" si="0">K20*G20</f>
        <v>17.5</v>
      </c>
      <c r="N20" s="145">
        <f>VLOOKUP(C20,'Sales Master'!$B$3:$DA$2279,104,0)</f>
        <v>12.75</v>
      </c>
      <c r="O20" s="145">
        <f t="shared" ref="O20:O21" si="1">K20-N20</f>
        <v>4.75</v>
      </c>
      <c r="P20" s="145">
        <f t="shared" ref="P20:P21" si="2">O20*G20</f>
        <v>4.75</v>
      </c>
    </row>
    <row r="21" spans="2:18" ht="20.149999999999999" customHeight="1" x14ac:dyDescent="0.45">
      <c r="B21" s="29"/>
      <c r="C21" s="212" t="s">
        <v>825</v>
      </c>
      <c r="D21" s="487" t="str">
        <f>VLOOKUP(C21,'Sales Master'!B$3:D$537,2,)</f>
        <v>Green Bean 绿豆</v>
      </c>
      <c r="E21" s="487"/>
      <c r="F21" s="487"/>
      <c r="G21" s="17">
        <v>2</v>
      </c>
      <c r="H21" s="186" t="str">
        <f>VLOOKUP(C21,'Sales Master'!$B$3:$F$2420,5,0)</f>
        <v>5 KG</v>
      </c>
      <c r="I21" s="484" t="str">
        <f>VLOOKUP(C21,'Sales Master'!$B$3:$E$2420,4,0)</f>
        <v>-</v>
      </c>
      <c r="J21" s="484"/>
      <c r="K21" s="30">
        <f>VLOOKUP(C21,'Sales Master'!$B$3:$BH$537,59,0)</f>
        <v>13</v>
      </c>
      <c r="L21" s="64">
        <f t="shared" si="0"/>
        <v>26</v>
      </c>
      <c r="N21" s="145">
        <f>VLOOKUP(C21,'Sales Master'!$B$3:$DA$2279,104,0)</f>
        <v>8.75</v>
      </c>
      <c r="O21" s="145">
        <f t="shared" si="1"/>
        <v>4.25</v>
      </c>
      <c r="P21" s="145">
        <f t="shared" si="2"/>
        <v>8.5</v>
      </c>
      <c r="Q21" s="170"/>
    </row>
    <row r="22" spans="2:18" ht="20.149999999999999" customHeight="1" x14ac:dyDescent="0.45">
      <c r="B22" s="29"/>
      <c r="C22" s="212" t="s">
        <v>853</v>
      </c>
      <c r="D22" s="487" t="str">
        <f>VLOOKUP(C22,'Sales Master'!B$3:D$537,2,)</f>
        <v>Small Sago 小丸</v>
      </c>
      <c r="E22" s="487"/>
      <c r="F22" s="487"/>
      <c r="G22" s="17">
        <v>1</v>
      </c>
      <c r="H22" s="186" t="str">
        <f>VLOOKUP(C22,'Sales Master'!$B$3:$F$2420,5,0)</f>
        <v>5 KG</v>
      </c>
      <c r="I22" s="484" t="str">
        <f>VLOOKUP(C22,'Sales Master'!$B$3:$E$2420,4,0)</f>
        <v>-</v>
      </c>
      <c r="J22" s="484"/>
      <c r="K22" s="30">
        <f>VLOOKUP(C22,'Sales Master'!$B$3:$BH$537,59,0)</f>
        <v>10</v>
      </c>
      <c r="L22" s="64">
        <f t="shared" ref="L22:L23" si="3">K22*G22</f>
        <v>10</v>
      </c>
      <c r="N22" s="145"/>
      <c r="O22" s="145"/>
      <c r="P22" s="145"/>
      <c r="Q22" s="170"/>
    </row>
    <row r="23" spans="2:18" ht="20.149999999999999" customHeight="1" x14ac:dyDescent="0.45">
      <c r="B23" s="29"/>
      <c r="C23" s="212" t="s">
        <v>966</v>
      </c>
      <c r="D23" s="487" t="str">
        <f>VLOOKUP(C23,'Sales Master'!B$3:D$537,2,)</f>
        <v>Coconut Milk 椰浆</v>
      </c>
      <c r="E23" s="487"/>
      <c r="F23" s="487"/>
      <c r="G23" s="17">
        <v>1</v>
      </c>
      <c r="H23" s="186" t="str">
        <f>VLOOKUP(C23,'Sales Master'!$B$3:$F$2420,5,0)</f>
        <v>(1L x 12bag)/箱</v>
      </c>
      <c r="I23" s="484" t="str">
        <f>VLOOKUP(C23,'Sales Master'!$B$3:$E$2420,4,0)</f>
        <v>Kara UHT</v>
      </c>
      <c r="J23" s="484"/>
      <c r="K23" s="30">
        <f>VLOOKUP(C23,'Sales Master'!$B$3:$BH$537,59,0)</f>
        <v>54</v>
      </c>
      <c r="L23" s="64">
        <f t="shared" si="3"/>
        <v>54</v>
      </c>
      <c r="N23" s="145"/>
      <c r="O23" s="145"/>
      <c r="P23" s="145"/>
      <c r="Q23" s="170"/>
    </row>
    <row r="24" spans="2:18" ht="20.149999999999999" customHeight="1" x14ac:dyDescent="0.45">
      <c r="B24" s="29"/>
      <c r="C24" s="212"/>
      <c r="D24" s="487"/>
      <c r="E24" s="487"/>
      <c r="F24" s="487"/>
      <c r="G24" s="17"/>
      <c r="H24" s="186"/>
      <c r="I24" s="484"/>
      <c r="J24" s="484"/>
      <c r="K24" s="30"/>
      <c r="L24" s="64"/>
      <c r="N24" s="145"/>
      <c r="O24" s="145"/>
      <c r="P24" s="145"/>
    </row>
    <row r="25" spans="2:18" ht="20.149999999999999" customHeight="1" x14ac:dyDescent="0.45">
      <c r="B25" s="29"/>
      <c r="C25" s="212"/>
      <c r="D25" s="487"/>
      <c r="E25" s="487"/>
      <c r="F25" s="487"/>
      <c r="G25" s="17"/>
      <c r="H25" s="186"/>
      <c r="I25" s="484"/>
      <c r="J25" s="484"/>
      <c r="K25" s="30"/>
      <c r="L25" s="64"/>
      <c r="N25" s="145"/>
      <c r="O25" s="145"/>
      <c r="P25" s="145"/>
      <c r="Q25" s="170"/>
    </row>
    <row r="26" spans="2:18" ht="20.149999999999999" customHeight="1" x14ac:dyDescent="0.45">
      <c r="B26" s="29"/>
      <c r="D26" s="67"/>
      <c r="E26" s="67"/>
      <c r="F26" s="67"/>
      <c r="G26" s="17"/>
      <c r="H26" s="186"/>
      <c r="I26" s="484"/>
      <c r="J26" s="484"/>
      <c r="K26" s="30"/>
      <c r="L26" s="64"/>
      <c r="N26" s="145"/>
      <c r="O26" s="145"/>
      <c r="P26" s="145"/>
      <c r="Q26" s="170"/>
    </row>
    <row r="27" spans="2:18" ht="20.149999999999999" customHeight="1" x14ac:dyDescent="0.45">
      <c r="B27" s="29"/>
      <c r="C27" s="17"/>
      <c r="D27" s="524"/>
      <c r="E27" s="524"/>
      <c r="F27" s="524"/>
      <c r="G27" s="17"/>
      <c r="H27" s="186"/>
      <c r="I27" s="484"/>
      <c r="J27" s="484"/>
      <c r="K27" s="30"/>
      <c r="L27" s="64"/>
      <c r="N27" s="145"/>
      <c r="O27" s="145"/>
      <c r="P27" s="145"/>
      <c r="Q27" s="170"/>
    </row>
    <row r="28" spans="2:18" ht="20.149999999999999" customHeight="1" x14ac:dyDescent="0.45">
      <c r="B28" s="29"/>
      <c r="C28" s="17"/>
      <c r="D28" s="524"/>
      <c r="E28" s="524"/>
      <c r="F28" s="524"/>
      <c r="G28" s="17"/>
      <c r="H28" s="186"/>
      <c r="I28" s="484"/>
      <c r="J28" s="484"/>
      <c r="K28" s="30"/>
      <c r="L28" s="64"/>
      <c r="N28" s="145"/>
      <c r="O28" s="145"/>
      <c r="P28" s="145"/>
      <c r="Q28" s="170"/>
    </row>
    <row r="29" spans="2:18" ht="20.149999999999999" customHeight="1" thickBot="1" x14ac:dyDescent="0.5">
      <c r="B29" s="32"/>
      <c r="C29" s="33"/>
      <c r="D29" s="488"/>
      <c r="E29" s="488"/>
      <c r="F29" s="488"/>
      <c r="G29" s="33"/>
      <c r="H29" s="33"/>
      <c r="I29" s="33"/>
      <c r="J29" s="33"/>
      <c r="K29" s="34"/>
      <c r="L29" s="35"/>
    </row>
    <row r="30" spans="2:18" ht="20.149999999999999" customHeight="1" thickBot="1" x14ac:dyDescent="0.5">
      <c r="B30" s="36"/>
      <c r="L30" s="37"/>
    </row>
    <row r="31" spans="2:18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89" t="s">
        <v>13</v>
      </c>
      <c r="K31" s="490"/>
      <c r="L31" s="38">
        <f>SUM(L16:L29)</f>
        <v>150.5</v>
      </c>
      <c r="M31" s="63">
        <f>SUM(P18:P29)-L31*0.04</f>
        <v>18.73</v>
      </c>
      <c r="N31" s="133">
        <f>M31/L31</f>
        <v>0.12445182724252492</v>
      </c>
    </row>
    <row r="32" spans="2:18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91" t="s">
        <v>19</v>
      </c>
      <c r="K33" s="492"/>
      <c r="L33" s="41">
        <f>L31-L32</f>
        <v>150.5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13.545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85" t="s">
        <v>21</v>
      </c>
      <c r="K35" s="486"/>
      <c r="L35" s="43">
        <f>L33+L34</f>
        <v>164.04499999999999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1"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O13:Q13"/>
    <mergeCell ref="D19:F19"/>
    <mergeCell ref="I19:J19"/>
    <mergeCell ref="D21:F21"/>
    <mergeCell ref="I21:J21"/>
    <mergeCell ref="D18:F18"/>
    <mergeCell ref="I18:J18"/>
    <mergeCell ref="D17:F17"/>
    <mergeCell ref="I17:J17"/>
    <mergeCell ref="D20:F20"/>
    <mergeCell ref="I20:J20"/>
    <mergeCell ref="J35:K35"/>
    <mergeCell ref="I22:J22"/>
    <mergeCell ref="D27:F27"/>
    <mergeCell ref="I27:J27"/>
    <mergeCell ref="D28:F28"/>
    <mergeCell ref="I28:J28"/>
    <mergeCell ref="D29:F29"/>
    <mergeCell ref="J31:K31"/>
    <mergeCell ref="J33:K33"/>
    <mergeCell ref="D22:F22"/>
    <mergeCell ref="I26:J26"/>
    <mergeCell ref="D25:F25"/>
    <mergeCell ref="I25:J25"/>
    <mergeCell ref="D24:F24"/>
    <mergeCell ref="I24:J24"/>
    <mergeCell ref="D23:F23"/>
  </mergeCells>
  <pageMargins left="0.70866141732283505" right="0.31496062992126" top="0.23622047244094499" bottom="0.23622047244094499" header="0.31496062992126" footer="0.31496062992126"/>
  <pageSetup paperSize="9" scale="74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FB338-E492-4F4E-AED3-CF49E77A8511}">
  <sheetPr codeName="Sheet120">
    <tabColor rgb="FF7030A0"/>
    <pageSetUpPr fitToPage="1"/>
  </sheetPr>
  <dimension ref="B1:P43"/>
  <sheetViews>
    <sheetView topLeftCell="B9" workbookViewId="0">
      <selection activeCell="N17" sqref="N17:P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180</v>
      </c>
      <c r="J10" s="24" t="s">
        <v>27</v>
      </c>
      <c r="K10" s="464">
        <v>202405190</v>
      </c>
      <c r="L10" s="465"/>
    </row>
    <row r="11" spans="2:12" ht="20.149999999999999" customHeight="1" x14ac:dyDescent="0.45">
      <c r="B11" s="466" t="s">
        <v>361</v>
      </c>
      <c r="C11" s="467"/>
      <c r="D11" s="468"/>
      <c r="E11" s="25"/>
      <c r="F11" s="469" t="str">
        <f>VLOOKUP(H10,'Delivery Location'!A$4:N$466,2,0)</f>
        <v>S111 Pte Ltd                                              No 39, Greenwich Drive. #01-12  Blk 8, Tampines Logistics Hub  Singapore 533863.</v>
      </c>
      <c r="G11" s="470"/>
      <c r="H11" s="471"/>
      <c r="J11" s="26" t="s">
        <v>9</v>
      </c>
      <c r="K11" s="478">
        <v>45420</v>
      </c>
      <c r="L11" s="479"/>
    </row>
    <row r="12" spans="2:12" ht="20.149999999999999" customHeight="1" x14ac:dyDescent="0.45">
      <c r="B12" s="480" t="s">
        <v>362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536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421</v>
      </c>
      <c r="L13" s="483"/>
    </row>
    <row r="14" spans="2:12" ht="20.149999999999999" customHeight="1" x14ac:dyDescent="0.45">
      <c r="B14" s="480" t="s">
        <v>537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08" t="s">
        <v>363</v>
      </c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7" t="s">
        <v>53</v>
      </c>
      <c r="I17" s="460" t="s">
        <v>385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 t="s">
        <v>715</v>
      </c>
      <c r="D18" s="487" t="str">
        <f>VLOOKUP(C18,'Sales Master'!B$3:D$537,2,)</f>
        <v>Coconut Sugar Syrup 椰糖浆</v>
      </c>
      <c r="E18" s="487"/>
      <c r="F18" s="487"/>
      <c r="G18" s="76">
        <v>1</v>
      </c>
      <c r="H18" s="186" t="str">
        <f>VLOOKUP(C18,'Sales Master'!$B$3:$E$537,4,0)</f>
        <v>DO!</v>
      </c>
      <c r="I18" s="484" t="str">
        <f>VLOOKUP(C18,'Sales Master'!$B$3:F$537,5,0)</f>
        <v>GW: 5 KG/ Btl支</v>
      </c>
      <c r="J18" s="484"/>
      <c r="K18" s="80">
        <f>VLOOKUP(C18,'Sales Master'!B$3:S$537,18,0)</f>
        <v>20</v>
      </c>
      <c r="L18" s="64">
        <f>K18*G18</f>
        <v>20</v>
      </c>
      <c r="M18" s="65"/>
      <c r="N18" s="145">
        <f>VLOOKUP(C18,'Sales Master'!$B$3:$DA$2279,104,0)</f>
        <v>8.89</v>
      </c>
      <c r="O18" s="145">
        <f>K18-N18</f>
        <v>11.11</v>
      </c>
      <c r="P18" s="145">
        <f>O18*G18</f>
        <v>11.11</v>
      </c>
    </row>
    <row r="19" spans="2:16" ht="20.149999999999999" customHeight="1" x14ac:dyDescent="0.45">
      <c r="B19" s="29"/>
      <c r="C19" s="17"/>
      <c r="D19" s="487"/>
      <c r="E19" s="487"/>
      <c r="F19" s="487"/>
      <c r="G19" s="76"/>
      <c r="H19" s="56"/>
      <c r="I19" s="494"/>
      <c r="J19" s="494"/>
      <c r="K19" s="80"/>
      <c r="L19" s="64"/>
      <c r="M19" s="65"/>
    </row>
    <row r="20" spans="2:16" ht="20.149999999999999" customHeight="1" x14ac:dyDescent="0.45">
      <c r="B20" s="29"/>
      <c r="C20" s="17"/>
      <c r="D20" s="487"/>
      <c r="E20" s="487"/>
      <c r="F20" s="487"/>
      <c r="G20" s="76"/>
      <c r="H20" s="56"/>
      <c r="I20" s="494"/>
      <c r="J20" s="494"/>
      <c r="K20" s="80"/>
      <c r="L20" s="64"/>
      <c r="M20" s="65"/>
    </row>
    <row r="21" spans="2:16" ht="20.149999999999999" customHeight="1" x14ac:dyDescent="0.45">
      <c r="B21" s="29"/>
      <c r="C21" s="17"/>
      <c r="D21" s="487"/>
      <c r="E21" s="487"/>
      <c r="F21" s="487"/>
      <c r="G21" s="76"/>
      <c r="H21" s="56"/>
      <c r="I21" s="494"/>
      <c r="J21" s="494"/>
      <c r="K21" s="80"/>
      <c r="L21" s="64"/>
      <c r="M21" s="65"/>
    </row>
    <row r="22" spans="2:16" ht="20.149999999999999" customHeight="1" x14ac:dyDescent="0.45">
      <c r="B22" s="29"/>
      <c r="C22" s="17"/>
      <c r="D22" s="487"/>
      <c r="E22" s="487"/>
      <c r="F22" s="487"/>
      <c r="G22" s="76"/>
      <c r="H22" s="56"/>
      <c r="I22" s="494"/>
      <c r="J22" s="494"/>
      <c r="K22" s="80"/>
      <c r="L22" s="64"/>
      <c r="M22" s="65"/>
    </row>
    <row r="23" spans="2:16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80"/>
      <c r="L23" s="64"/>
      <c r="M23" s="65"/>
    </row>
    <row r="24" spans="2:16" ht="20.149999999999999" customHeight="1" x14ac:dyDescent="0.45">
      <c r="B24" s="29"/>
      <c r="C24" s="17"/>
      <c r="D24" s="487"/>
      <c r="E24" s="487"/>
      <c r="F24" s="487"/>
      <c r="G24" s="17"/>
      <c r="H24" s="56"/>
      <c r="I24" s="494"/>
      <c r="J24" s="494"/>
      <c r="K24" s="80"/>
      <c r="L24" s="64"/>
      <c r="M24" s="65"/>
    </row>
    <row r="25" spans="2:16" ht="20.149999999999999" customHeight="1" x14ac:dyDescent="0.45">
      <c r="B25" s="29"/>
      <c r="C25" s="17"/>
      <c r="D25" s="487"/>
      <c r="E25" s="487"/>
      <c r="F25" s="487"/>
      <c r="G25" s="17"/>
      <c r="H25" s="56"/>
      <c r="I25" s="494"/>
      <c r="J25" s="494"/>
      <c r="K25" s="80"/>
      <c r="L25" s="64"/>
      <c r="M25" s="65"/>
    </row>
    <row r="26" spans="2:16" ht="20.149999999999999" customHeight="1" x14ac:dyDescent="0.45">
      <c r="B26" s="29"/>
      <c r="C26" s="17"/>
      <c r="D26" s="487"/>
      <c r="E26" s="487"/>
      <c r="F26" s="487"/>
      <c r="G26" s="17"/>
      <c r="H26" s="56"/>
      <c r="I26" s="494"/>
      <c r="J26" s="494"/>
      <c r="K26" s="80"/>
      <c r="L26" s="64"/>
      <c r="M26" s="65"/>
    </row>
    <row r="27" spans="2:16" ht="20.149999999999999" customHeight="1" x14ac:dyDescent="0.45">
      <c r="B27" s="29"/>
      <c r="C27" s="17"/>
      <c r="D27" s="487"/>
      <c r="E27" s="487"/>
      <c r="F27" s="487"/>
      <c r="G27" s="17"/>
      <c r="H27" s="56"/>
      <c r="I27" s="494"/>
      <c r="J27" s="494"/>
      <c r="K27" s="80"/>
      <c r="L27" s="64"/>
      <c r="M27" s="65"/>
    </row>
    <row r="28" spans="2:16" ht="20.149999999999999" customHeight="1" x14ac:dyDescent="0.45">
      <c r="B28" s="29"/>
      <c r="C28" s="17"/>
      <c r="D28" s="487"/>
      <c r="E28" s="487"/>
      <c r="F28" s="487"/>
      <c r="G28" s="17"/>
      <c r="H28" s="56"/>
      <c r="I28" s="494"/>
      <c r="J28" s="494"/>
      <c r="K28" s="80"/>
      <c r="L28" s="64"/>
    </row>
    <row r="29" spans="2:16" ht="20.149999999999999" customHeight="1" thickBot="1" x14ac:dyDescent="0.5">
      <c r="B29" s="32"/>
      <c r="C29" s="33"/>
      <c r="D29" s="488"/>
      <c r="E29" s="488"/>
      <c r="F29" s="488"/>
      <c r="G29" s="33"/>
      <c r="H29" s="57"/>
      <c r="I29" s="459"/>
      <c r="J29" s="459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89" t="s">
        <v>13</v>
      </c>
      <c r="K31" s="490"/>
      <c r="L31" s="38">
        <f>SUM(L17:L28)</f>
        <v>20</v>
      </c>
      <c r="M31" s="63">
        <f>SUM(P18:P28)</f>
        <v>11.11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91" t="s">
        <v>19</v>
      </c>
      <c r="K33" s="492"/>
      <c r="L33" s="41">
        <f>L31-L32</f>
        <v>20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1.7999999999999998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85" t="s">
        <v>21</v>
      </c>
      <c r="K35" s="486"/>
      <c r="L35" s="43">
        <f>L33+L34</f>
        <v>21.8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2">
    <mergeCell ref="D27:F27"/>
    <mergeCell ref="I27:J27"/>
    <mergeCell ref="J35:K35"/>
    <mergeCell ref="D28:F28"/>
    <mergeCell ref="I28:J28"/>
    <mergeCell ref="D29:F29"/>
    <mergeCell ref="I29:J29"/>
    <mergeCell ref="J31:K31"/>
    <mergeCell ref="J33:K33"/>
    <mergeCell ref="D25:F25"/>
    <mergeCell ref="I25:J25"/>
    <mergeCell ref="D26:F26"/>
    <mergeCell ref="I26:J26"/>
    <mergeCell ref="D23:F23"/>
    <mergeCell ref="I23:J23"/>
    <mergeCell ref="D24:F24"/>
    <mergeCell ref="I24:J24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8" orientation="portrait" horizontalDpi="300" verticalDpi="30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E304C-75FB-4819-AF04-057E29612CA9}">
  <sheetPr codeName="Sheet152">
    <tabColor rgb="FF7030A0"/>
    <pageSetUpPr fitToPage="1"/>
  </sheetPr>
  <dimension ref="B1:N42"/>
  <sheetViews>
    <sheetView topLeftCell="B12" zoomScaleNormal="100" workbookViewId="0">
      <selection activeCell="H32" sqref="H32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54296875" style="19" customWidth="1"/>
    <col min="9" max="9" width="1" style="67" customWidth="1"/>
    <col min="10" max="10" width="15.54296875" style="67" customWidth="1"/>
    <col min="11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182</v>
      </c>
      <c r="J10" s="68" t="s">
        <v>27</v>
      </c>
      <c r="K10" s="464">
        <v>202501057</v>
      </c>
      <c r="L10" s="465"/>
    </row>
    <row r="11" spans="2:14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 - Dim Sum                                     Block 118 Rivervale Drive,                  #02-15/16 Rivervale Plaza     Singapore 540118                              </v>
      </c>
      <c r="G11" s="470"/>
      <c r="H11" s="471"/>
      <c r="J11" s="69" t="s">
        <v>9</v>
      </c>
      <c r="K11" s="478">
        <v>45660</v>
      </c>
      <c r="L11" s="479"/>
    </row>
    <row r="12" spans="2:14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69" t="s">
        <v>127</v>
      </c>
      <c r="K12" s="482" t="s">
        <v>331</v>
      </c>
      <c r="L12" s="483"/>
    </row>
    <row r="13" spans="2:14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69" t="s">
        <v>10</v>
      </c>
      <c r="K13" s="482" t="s">
        <v>12</v>
      </c>
      <c r="L13" s="483"/>
    </row>
    <row r="14" spans="2:14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69" t="s">
        <v>28</v>
      </c>
      <c r="K14" s="482" t="s">
        <v>14</v>
      </c>
      <c r="L14" s="483"/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70" t="s">
        <v>11</v>
      </c>
      <c r="K15" s="495"/>
      <c r="L15" s="496"/>
      <c r="N15" s="173"/>
    </row>
    <row r="16" spans="2:14" ht="19" thickBot="1" x14ac:dyDescent="0.5">
      <c r="J16" s="71"/>
      <c r="N16" s="173"/>
    </row>
    <row r="17" spans="2:14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7" t="s">
        <v>649</v>
      </c>
      <c r="I17" s="560" t="s">
        <v>650</v>
      </c>
      <c r="J17" s="561"/>
      <c r="K17" s="8" t="s">
        <v>5</v>
      </c>
      <c r="L17" s="9" t="s">
        <v>6</v>
      </c>
      <c r="M17" s="28"/>
      <c r="N17" s="173"/>
    </row>
    <row r="18" spans="2:14" ht="20.149999999999999" customHeight="1" x14ac:dyDescent="0.45">
      <c r="B18" s="29"/>
      <c r="C18" s="212" t="s">
        <v>1888</v>
      </c>
      <c r="D18" s="498" t="str">
        <f>VLOOKUP(C18,'Sales Master'!B$3:D$537,2,)</f>
        <v xml:space="preserve">Plain Flour 面粉 </v>
      </c>
      <c r="E18" s="498"/>
      <c r="F18" s="498"/>
      <c r="G18" s="17">
        <v>90</v>
      </c>
      <c r="H18" s="204" t="str">
        <f>VLOOKUP(C18,'Sales Master'!$B$3:$F$2488,5,0)</f>
        <v>1KG/ Pkt</v>
      </c>
      <c r="I18" s="484" t="str">
        <f>VLOOKUP(C18,'Sales Master'!$B$3:$E$2488,4,0)</f>
        <v>THREE EAGLE</v>
      </c>
      <c r="J18" s="484"/>
      <c r="K18" s="30">
        <f>VLOOKUP(C18,'Sales Master'!B$3:J$537,9,0)</f>
        <v>1.3</v>
      </c>
      <c r="L18" s="64">
        <f>K18*G18</f>
        <v>117</v>
      </c>
      <c r="M18" s="65"/>
      <c r="N18" s="173"/>
    </row>
    <row r="19" spans="2:14" ht="20.149999999999999" customHeight="1" x14ac:dyDescent="0.45">
      <c r="B19" s="29"/>
      <c r="C19" s="212" t="s">
        <v>825</v>
      </c>
      <c r="D19" s="498" t="str">
        <f>VLOOKUP(C19,'Sales Master'!B$3:D$537,2,)</f>
        <v>Green Bean 绿豆</v>
      </c>
      <c r="E19" s="498"/>
      <c r="F19" s="498"/>
      <c r="G19" s="17">
        <v>3</v>
      </c>
      <c r="H19" s="204" t="str">
        <f>VLOOKUP(C19,'Sales Master'!$B$3:$F$2488,5,0)</f>
        <v>5 KG</v>
      </c>
      <c r="I19" s="484" t="str">
        <f>VLOOKUP(C19,'Sales Master'!$B$3:$E$2488,4,0)</f>
        <v>-</v>
      </c>
      <c r="J19" s="484"/>
      <c r="K19" s="30">
        <f>VLOOKUP(C19,'Sales Master'!B$3:J$537,9,0)</f>
        <v>13</v>
      </c>
      <c r="L19" s="64">
        <f t="shared" ref="L19:L20" si="0">K19*G19</f>
        <v>39</v>
      </c>
      <c r="M19" s="65"/>
      <c r="N19" s="173"/>
    </row>
    <row r="20" spans="2:14" ht="20.149999999999999" customHeight="1" x14ac:dyDescent="0.45">
      <c r="B20" s="29"/>
      <c r="C20" s="212" t="s">
        <v>846</v>
      </c>
      <c r="D20" s="498" t="str">
        <f>VLOOKUP(C20,'Sales Master'!B$3:D$537,2,)</f>
        <v>Pearl Barley 薏米</v>
      </c>
      <c r="E20" s="498"/>
      <c r="F20" s="498"/>
      <c r="G20" s="17">
        <v>2</v>
      </c>
      <c r="H20" s="204" t="str">
        <f>VLOOKUP(C20,'Sales Master'!$B$3:$F$2488,5,0)</f>
        <v>5 KG</v>
      </c>
      <c r="I20" s="484" t="str">
        <f>VLOOKUP(C20,'Sales Master'!$B$3:$E$2488,4,0)</f>
        <v>-</v>
      </c>
      <c r="J20" s="484"/>
      <c r="K20" s="30">
        <f>VLOOKUP(C20,'Sales Master'!B$3:J$537,9,0)</f>
        <v>10</v>
      </c>
      <c r="L20" s="64">
        <f t="shared" si="0"/>
        <v>20</v>
      </c>
      <c r="M20" s="65"/>
      <c r="N20" s="173"/>
    </row>
    <row r="21" spans="2:14" ht="20.149999999999999" customHeight="1" x14ac:dyDescent="0.45">
      <c r="B21" s="29"/>
      <c r="C21" s="212"/>
      <c r="D21" s="487"/>
      <c r="E21" s="487"/>
      <c r="F21" s="487"/>
      <c r="G21" s="17"/>
      <c r="H21" s="204"/>
      <c r="I21" s="484"/>
      <c r="J21" s="484"/>
      <c r="K21" s="30"/>
      <c r="L21" s="64"/>
      <c r="M21" s="65"/>
      <c r="N21" s="173"/>
    </row>
    <row r="22" spans="2:14" ht="20.149999999999999" customHeight="1" x14ac:dyDescent="0.45">
      <c r="B22" s="29"/>
      <c r="C22" s="212"/>
      <c r="D22" s="487"/>
      <c r="E22" s="487"/>
      <c r="F22" s="487"/>
      <c r="G22" s="17"/>
      <c r="H22" s="204"/>
      <c r="I22" s="484"/>
      <c r="J22" s="484"/>
      <c r="K22" s="30"/>
      <c r="L22" s="64"/>
      <c r="M22" s="65"/>
      <c r="N22" s="173"/>
    </row>
    <row r="23" spans="2:14" ht="20.149999999999999" customHeight="1" x14ac:dyDescent="0.45">
      <c r="B23" s="29"/>
      <c r="C23" s="212"/>
      <c r="D23" s="487"/>
      <c r="E23" s="487"/>
      <c r="F23" s="487"/>
      <c r="G23" s="17"/>
      <c r="H23" s="204"/>
      <c r="I23" s="484"/>
      <c r="J23" s="484"/>
      <c r="K23" s="30"/>
      <c r="L23" s="64"/>
      <c r="M23" s="65"/>
      <c r="N23" s="173"/>
    </row>
    <row r="24" spans="2:14" ht="20.149999999999999" customHeight="1" x14ac:dyDescent="0.45">
      <c r="B24" s="29"/>
      <c r="C24" s="212"/>
      <c r="D24" s="487"/>
      <c r="E24" s="487"/>
      <c r="F24" s="487"/>
      <c r="G24" s="17"/>
      <c r="H24" s="204"/>
      <c r="I24" s="484"/>
      <c r="J24" s="484"/>
      <c r="K24" s="30"/>
      <c r="L24" s="64"/>
      <c r="M24" s="65"/>
      <c r="N24" s="173"/>
    </row>
    <row r="25" spans="2:14" ht="20.149999999999999" customHeight="1" x14ac:dyDescent="0.45">
      <c r="B25" s="29"/>
      <c r="C25" s="212"/>
      <c r="D25" s="487"/>
      <c r="E25" s="487"/>
      <c r="F25" s="487"/>
      <c r="G25" s="17"/>
      <c r="H25" s="204"/>
      <c r="I25" s="484"/>
      <c r="J25" s="484"/>
      <c r="K25" s="30"/>
      <c r="L25" s="64"/>
      <c r="M25" s="65"/>
      <c r="N25" s="173"/>
    </row>
    <row r="26" spans="2:14" ht="20.149999999999999" customHeight="1" x14ac:dyDescent="0.45">
      <c r="B26" s="66"/>
      <c r="C26" s="17"/>
      <c r="D26" s="487"/>
      <c r="E26" s="487"/>
      <c r="F26" s="487"/>
      <c r="G26" s="17"/>
      <c r="H26" s="56"/>
      <c r="I26" s="494"/>
      <c r="J26" s="494"/>
      <c r="K26" s="30"/>
      <c r="L26" s="64"/>
      <c r="M26" s="65"/>
      <c r="N26" s="173"/>
    </row>
    <row r="27" spans="2:14" ht="20.149999999999999" customHeight="1" x14ac:dyDescent="0.45">
      <c r="B27" s="29"/>
      <c r="C27" s="17"/>
      <c r="D27" s="487"/>
      <c r="E27" s="487"/>
      <c r="F27" s="487"/>
      <c r="G27" s="17"/>
      <c r="H27" s="56"/>
      <c r="I27" s="494"/>
      <c r="J27" s="494"/>
      <c r="K27" s="30"/>
      <c r="L27" s="64"/>
      <c r="M27" s="65"/>
      <c r="N27" s="173"/>
    </row>
    <row r="28" spans="2:14" ht="20.149999999999999" customHeight="1" thickBot="1" x14ac:dyDescent="0.5">
      <c r="B28" s="32"/>
      <c r="C28" s="33"/>
      <c r="D28" s="488"/>
      <c r="E28" s="488"/>
      <c r="F28" s="488"/>
      <c r="G28" s="33"/>
      <c r="H28" s="57"/>
      <c r="I28" s="528"/>
      <c r="J28" s="528"/>
      <c r="K28" s="34"/>
      <c r="L28" s="35"/>
      <c r="N28" s="173"/>
    </row>
    <row r="29" spans="2:14" ht="20.149999999999999" customHeight="1" thickBot="1" x14ac:dyDescent="0.5">
      <c r="B29" s="36"/>
      <c r="L29" s="37"/>
      <c r="N29" s="173"/>
    </row>
    <row r="30" spans="2:14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72"/>
      <c r="J30" s="489" t="s">
        <v>13</v>
      </c>
      <c r="K30" s="490"/>
      <c r="L30" s="38">
        <f>SUM(L17:L27)</f>
        <v>176</v>
      </c>
      <c r="M30" s="63">
        <f>SUM(P18:P28)</f>
        <v>0</v>
      </c>
      <c r="N30" s="173"/>
    </row>
    <row r="31" spans="2:14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72"/>
      <c r="J31" s="39" t="s">
        <v>20</v>
      </c>
      <c r="K31" s="40"/>
      <c r="L31" s="41">
        <f>L30*K31</f>
        <v>0</v>
      </c>
      <c r="N31" s="173"/>
    </row>
    <row r="32" spans="2:14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72"/>
      <c r="J32" s="491" t="s">
        <v>19</v>
      </c>
      <c r="K32" s="492"/>
      <c r="L32" s="41">
        <f>L30-L31</f>
        <v>176</v>
      </c>
      <c r="N32" s="173"/>
    </row>
    <row r="33" spans="2:14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72"/>
      <c r="J33" s="102" t="s">
        <v>15</v>
      </c>
      <c r="K33" s="103">
        <f>'Sales Master'!$B$1</f>
        <v>0.09</v>
      </c>
      <c r="L33" s="42">
        <f>L32*K33</f>
        <v>15.84</v>
      </c>
      <c r="N33" s="173"/>
    </row>
    <row r="34" spans="2:14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72"/>
      <c r="J34" s="485" t="s">
        <v>21</v>
      </c>
      <c r="K34" s="486"/>
      <c r="L34" s="43">
        <f>L32+L33</f>
        <v>191.84</v>
      </c>
    </row>
    <row r="35" spans="2:14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72"/>
      <c r="L35" s="37"/>
    </row>
    <row r="36" spans="2:14" ht="20.149999999999999" customHeight="1" x14ac:dyDescent="0.45">
      <c r="B36" s="36"/>
      <c r="L36" s="37"/>
    </row>
    <row r="37" spans="2:14" ht="20.149999999999999" customHeight="1" x14ac:dyDescent="0.45">
      <c r="B37" s="36"/>
      <c r="L37" s="37"/>
    </row>
    <row r="38" spans="2:14" ht="20.149999999999999" customHeight="1" x14ac:dyDescent="0.45">
      <c r="B38" s="3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44"/>
      <c r="C40" s="45"/>
      <c r="D40" s="45"/>
      <c r="J40" s="73"/>
      <c r="K40" s="45"/>
      <c r="L40" s="46"/>
    </row>
    <row r="41" spans="2:14" ht="20.149999999999999" customHeight="1" x14ac:dyDescent="0.45">
      <c r="B41" s="36" t="s">
        <v>25</v>
      </c>
      <c r="J41" s="67" t="s">
        <v>26</v>
      </c>
      <c r="L41" s="37"/>
    </row>
    <row r="42" spans="2:14" ht="19" thickBot="1" x14ac:dyDescent="0.5">
      <c r="B42" s="47"/>
      <c r="C42" s="48"/>
      <c r="D42" s="48"/>
      <c r="E42" s="48"/>
      <c r="F42" s="48"/>
      <c r="G42" s="48"/>
      <c r="H42" s="48"/>
      <c r="I42" s="74"/>
      <c r="J42" s="74"/>
      <c r="K42" s="48"/>
      <c r="L42" s="49"/>
    </row>
  </sheetData>
  <mergeCells count="40">
    <mergeCell ref="D25:F25"/>
    <mergeCell ref="I25:J25"/>
    <mergeCell ref="J34:K34"/>
    <mergeCell ref="D28:F28"/>
    <mergeCell ref="I28:J28"/>
    <mergeCell ref="J30:K30"/>
    <mergeCell ref="J32:K32"/>
    <mergeCell ref="D26:F26"/>
    <mergeCell ref="I26:J26"/>
    <mergeCell ref="D27:F27"/>
    <mergeCell ref="I27:J27"/>
    <mergeCell ref="B1:L8"/>
    <mergeCell ref="D17:F17"/>
    <mergeCell ref="I17:J17"/>
    <mergeCell ref="D18:F18"/>
    <mergeCell ref="K10:L10"/>
    <mergeCell ref="B11:D11"/>
    <mergeCell ref="I18:J18"/>
    <mergeCell ref="F11:H15"/>
    <mergeCell ref="K11:L11"/>
    <mergeCell ref="B12:D12"/>
    <mergeCell ref="K15:L15"/>
    <mergeCell ref="K12:L12"/>
    <mergeCell ref="B13:D13"/>
    <mergeCell ref="K13:L13"/>
    <mergeCell ref="B14:D14"/>
    <mergeCell ref="K14:L14"/>
    <mergeCell ref="B15:D15"/>
    <mergeCell ref="D24:F24"/>
    <mergeCell ref="I24:J24"/>
    <mergeCell ref="D23:F23"/>
    <mergeCell ref="D21:F21"/>
    <mergeCell ref="I23:J23"/>
    <mergeCell ref="I21:J21"/>
    <mergeCell ref="D19:F19"/>
    <mergeCell ref="D20:F20"/>
    <mergeCell ref="D22:F22"/>
    <mergeCell ref="I19:J19"/>
    <mergeCell ref="I20:J20"/>
    <mergeCell ref="I22:J22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1C20E-3482-4C87-BA9E-5130C0CF8F32}">
  <sheetPr codeName="Sheet89">
    <tabColor rgb="FF7030A0"/>
    <pageSetUpPr fitToPage="1"/>
  </sheetPr>
  <dimension ref="B1:P51"/>
  <sheetViews>
    <sheetView topLeftCell="B14" workbookViewId="0">
      <selection activeCell="K42" sqref="K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184</v>
      </c>
      <c r="J10" s="24" t="s">
        <v>27</v>
      </c>
      <c r="K10" s="464">
        <v>202008423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 - Drink                                         Sengkang General Community Hospital. 1 Anchorvale Street #01-21 S'pore 544835                                                                     </v>
      </c>
      <c r="G11" s="470"/>
      <c r="H11" s="471"/>
      <c r="J11" s="26" t="s">
        <v>9</v>
      </c>
      <c r="K11" s="500" t="s">
        <v>643</v>
      </c>
      <c r="L11" s="483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7" t="s">
        <v>386</v>
      </c>
      <c r="I17" s="460" t="s">
        <v>385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 t="s">
        <v>287</v>
      </c>
      <c r="D18" s="487" t="e">
        <f>VLOOKUP(C18,'Sales Master'!B$3:D$537,2,)</f>
        <v>#N/A</v>
      </c>
      <c r="E18" s="487"/>
      <c r="F18" s="487"/>
      <c r="G18" s="17">
        <v>2</v>
      </c>
      <c r="H18" s="56" t="e">
        <f>VLOOKUP(C18,'Sales Master'!$B$3:$E$537,4,0)</f>
        <v>#N/A</v>
      </c>
      <c r="I18" s="458" t="e">
        <f>VLOOKUP(C18,'Sales Master'!$B$3:F$537,5,0)</f>
        <v>#N/A</v>
      </c>
      <c r="J18" s="458"/>
      <c r="K18" s="30" t="e">
        <f>VLOOKUP(C18,'Sales Master'!B$3:J$537,9,0)</f>
        <v>#N/A</v>
      </c>
      <c r="L18" s="64" t="e">
        <f>K18*G18</f>
        <v>#N/A</v>
      </c>
      <c r="M18" s="65"/>
      <c r="N18" s="145" t="e">
        <f>VLOOKUP(C18,'Sales Master'!$B$3:$DA$2279,104,0)</f>
        <v>#N/A</v>
      </c>
      <c r="O18" s="145" t="e">
        <f>K18-N18</f>
        <v>#N/A</v>
      </c>
      <c r="P18" s="145" t="e">
        <f>O18*G18</f>
        <v>#N/A</v>
      </c>
    </row>
    <row r="19" spans="2:16" ht="20.149999999999999" customHeight="1" x14ac:dyDescent="0.45">
      <c r="B19" s="29"/>
      <c r="C19" s="17" t="s">
        <v>324</v>
      </c>
      <c r="D19" s="487" t="e">
        <f>VLOOKUP(C19,'Sales Master'!B$3:D$537,2,)</f>
        <v>#N/A</v>
      </c>
      <c r="E19" s="487"/>
      <c r="F19" s="487"/>
      <c r="G19" s="17">
        <v>2</v>
      </c>
      <c r="H19" s="56" t="e">
        <f>VLOOKUP(C19,'Sales Master'!$B$3:$E$537,4,0)</f>
        <v>#N/A</v>
      </c>
      <c r="I19" s="458" t="e">
        <f>VLOOKUP(C19,'Sales Master'!$B$3:F$537,5,0)</f>
        <v>#N/A</v>
      </c>
      <c r="J19" s="458"/>
      <c r="K19" s="30" t="e">
        <f>VLOOKUP(C19,'Sales Master'!B$3:J$537,9,0)</f>
        <v>#N/A</v>
      </c>
      <c r="L19" s="64" t="e">
        <f>K19*G19</f>
        <v>#N/A</v>
      </c>
      <c r="M19" s="65"/>
      <c r="N19" s="145" t="e">
        <f>VLOOKUP(C19,'Sales Master'!$B$3:$DA$2279,104,0)</f>
        <v>#N/A</v>
      </c>
      <c r="O19" s="145" t="e">
        <f>K19-N19</f>
        <v>#N/A</v>
      </c>
      <c r="P19" s="145" t="e">
        <f>O19*G19</f>
        <v>#N/A</v>
      </c>
    </row>
    <row r="20" spans="2:16" ht="20.149999999999999" customHeight="1" x14ac:dyDescent="0.45">
      <c r="B20" s="29"/>
      <c r="C20" s="17"/>
      <c r="D20" s="487"/>
      <c r="E20" s="487"/>
      <c r="F20" s="487"/>
      <c r="G20" s="17"/>
      <c r="H20" s="56"/>
      <c r="I20" s="458"/>
      <c r="J20" s="458"/>
      <c r="K20" s="30"/>
      <c r="L20" s="64"/>
      <c r="M20" s="65"/>
    </row>
    <row r="21" spans="2:16" ht="20.149999999999999" customHeight="1" x14ac:dyDescent="0.45">
      <c r="B21" s="29"/>
      <c r="C21" s="17"/>
      <c r="D21" s="487"/>
      <c r="E21" s="487"/>
      <c r="F21" s="487"/>
      <c r="G21" s="17"/>
      <c r="H21" s="56"/>
      <c r="I21" s="458"/>
      <c r="J21" s="458"/>
      <c r="K21" s="30"/>
      <c r="L21" s="64"/>
      <c r="M21" s="65"/>
    </row>
    <row r="22" spans="2:16" ht="20.149999999999999" customHeight="1" x14ac:dyDescent="0.45">
      <c r="B22" s="29"/>
      <c r="C22" s="17"/>
      <c r="D22" s="487"/>
      <c r="E22" s="487"/>
      <c r="F22" s="487"/>
      <c r="G22" s="17"/>
      <c r="H22" s="56"/>
      <c r="I22" s="458"/>
      <c r="J22" s="458"/>
      <c r="K22" s="30"/>
      <c r="L22" s="64"/>
      <c r="M22" s="65"/>
    </row>
    <row r="23" spans="2:16" ht="20.149999999999999" customHeight="1" x14ac:dyDescent="0.45">
      <c r="B23" s="29"/>
      <c r="C23" s="17"/>
      <c r="D23" s="487"/>
      <c r="E23" s="487"/>
      <c r="F23" s="487"/>
      <c r="G23" s="17"/>
      <c r="H23" s="56"/>
      <c r="I23" s="458"/>
      <c r="J23" s="458"/>
      <c r="K23" s="30"/>
      <c r="L23" s="64"/>
      <c r="M23" s="65"/>
    </row>
    <row r="24" spans="2:16" ht="20.149999999999999" customHeight="1" x14ac:dyDescent="0.45">
      <c r="B24" s="29"/>
      <c r="C24" s="17"/>
      <c r="D24" s="487"/>
      <c r="E24" s="487"/>
      <c r="F24" s="487"/>
      <c r="G24" s="17"/>
      <c r="H24" s="56"/>
      <c r="I24" s="458"/>
      <c r="J24" s="458"/>
      <c r="K24" s="30"/>
      <c r="L24" s="64"/>
      <c r="M24" s="65"/>
    </row>
    <row r="25" spans="2:16" ht="20.149999999999999" customHeight="1" x14ac:dyDescent="0.45">
      <c r="B25" s="29"/>
      <c r="C25" s="17"/>
      <c r="D25" s="487"/>
      <c r="E25" s="487"/>
      <c r="F25" s="487"/>
      <c r="G25" s="17"/>
      <c r="H25" s="56"/>
      <c r="I25" s="458"/>
      <c r="J25" s="458"/>
      <c r="K25" s="30"/>
      <c r="L25" s="64"/>
      <c r="M25" s="65"/>
    </row>
    <row r="26" spans="2:16" ht="20.149999999999999" customHeight="1" x14ac:dyDescent="0.45">
      <c r="B26" s="29"/>
      <c r="C26" s="17"/>
      <c r="D26" s="487"/>
      <c r="E26" s="487"/>
      <c r="F26" s="487"/>
      <c r="G26" s="17"/>
      <c r="H26" s="56"/>
      <c r="I26" s="458"/>
      <c r="J26" s="458"/>
      <c r="K26" s="30"/>
      <c r="L26" s="64"/>
      <c r="M26" s="65"/>
    </row>
    <row r="27" spans="2:16" ht="20.149999999999999" customHeight="1" x14ac:dyDescent="0.45">
      <c r="B27" s="29"/>
      <c r="C27" s="17"/>
      <c r="D27" s="487"/>
      <c r="E27" s="487"/>
      <c r="F27" s="487"/>
      <c r="G27" s="17"/>
      <c r="H27" s="56"/>
      <c r="I27" s="458"/>
      <c r="J27" s="458"/>
      <c r="K27" s="30"/>
      <c r="L27" s="64"/>
      <c r="M27" s="65"/>
    </row>
    <row r="28" spans="2:16" ht="20.149999999999999" customHeight="1" x14ac:dyDescent="0.45">
      <c r="B28" s="29"/>
      <c r="C28" s="17"/>
      <c r="D28" s="487"/>
      <c r="E28" s="487"/>
      <c r="F28" s="487"/>
      <c r="G28" s="17"/>
      <c r="H28" s="56"/>
      <c r="I28" s="458"/>
      <c r="J28" s="458"/>
      <c r="K28" s="30"/>
      <c r="L28" s="64"/>
      <c r="M28" s="65"/>
    </row>
    <row r="29" spans="2:16" ht="20.149999999999999" customHeight="1" x14ac:dyDescent="0.45">
      <c r="B29" s="29"/>
      <c r="C29" s="17"/>
      <c r="D29" s="487"/>
      <c r="E29" s="487"/>
      <c r="F29" s="487"/>
      <c r="G29" s="17"/>
      <c r="H29" s="56"/>
      <c r="I29" s="458"/>
      <c r="J29" s="458"/>
      <c r="K29" s="30"/>
      <c r="L29" s="64"/>
      <c r="M29" s="65"/>
    </row>
    <row r="30" spans="2:16" ht="20.149999999999999" customHeight="1" x14ac:dyDescent="0.45">
      <c r="B30" s="29"/>
      <c r="C30" s="17"/>
      <c r="D30" s="487"/>
      <c r="E30" s="487"/>
      <c r="F30" s="487"/>
      <c r="G30" s="17"/>
      <c r="H30" s="56"/>
      <c r="I30" s="458"/>
      <c r="J30" s="458"/>
      <c r="K30" s="30"/>
      <c r="L30" s="64"/>
      <c r="M30" s="65"/>
    </row>
    <row r="31" spans="2:16" ht="20.149999999999999" customHeight="1" x14ac:dyDescent="0.45">
      <c r="B31" s="29"/>
      <c r="C31" s="17"/>
      <c r="D31" s="487"/>
      <c r="E31" s="487"/>
      <c r="F31" s="487"/>
      <c r="G31" s="17"/>
      <c r="H31" s="56"/>
      <c r="I31" s="458"/>
      <c r="J31" s="458"/>
      <c r="K31" s="30"/>
      <c r="L31" s="64"/>
      <c r="M31" s="65"/>
    </row>
    <row r="32" spans="2:16" ht="20.149999999999999" customHeight="1" x14ac:dyDescent="0.45">
      <c r="B32" s="29"/>
      <c r="C32" s="17"/>
      <c r="D32" s="487"/>
      <c r="E32" s="487"/>
      <c r="F32" s="487"/>
      <c r="G32" s="17"/>
      <c r="H32" s="56"/>
      <c r="I32" s="458"/>
      <c r="J32" s="458"/>
      <c r="K32" s="30"/>
      <c r="L32" s="64"/>
      <c r="M32" s="65"/>
    </row>
    <row r="33" spans="2:13" ht="20.149999999999999" customHeight="1" x14ac:dyDescent="0.45">
      <c r="B33" s="29"/>
      <c r="C33" s="17"/>
      <c r="D33" s="487"/>
      <c r="E33" s="487"/>
      <c r="F33" s="487"/>
      <c r="G33" s="17"/>
      <c r="H33" s="56"/>
      <c r="I33" s="458"/>
      <c r="J33" s="458"/>
      <c r="K33" s="30"/>
      <c r="L33" s="64"/>
      <c r="M33" s="65"/>
    </row>
    <row r="34" spans="2:13" ht="20.149999999999999" customHeight="1" x14ac:dyDescent="0.45">
      <c r="B34" s="29"/>
      <c r="C34" s="17"/>
      <c r="D34" s="487"/>
      <c r="E34" s="487"/>
      <c r="F34" s="487"/>
      <c r="G34" s="17"/>
      <c r="H34" s="56"/>
      <c r="I34" s="458"/>
      <c r="J34" s="458"/>
      <c r="K34" s="30"/>
      <c r="L34" s="64"/>
      <c r="M34" s="65"/>
    </row>
    <row r="35" spans="2:13" ht="20.149999999999999" customHeight="1" x14ac:dyDescent="0.45">
      <c r="B35" s="29"/>
      <c r="C35" s="17"/>
      <c r="D35" s="487"/>
      <c r="E35" s="487"/>
      <c r="F35" s="487"/>
      <c r="G35" s="17"/>
      <c r="H35" s="56"/>
      <c r="I35" s="458"/>
      <c r="J35" s="458"/>
      <c r="K35" s="30"/>
      <c r="L35" s="64"/>
      <c r="M35" s="65"/>
    </row>
    <row r="36" spans="2:13" ht="20.149999999999999" customHeight="1" x14ac:dyDescent="0.45">
      <c r="B36" s="29"/>
      <c r="C36" s="17"/>
      <c r="D36" s="487"/>
      <c r="E36" s="487"/>
      <c r="F36" s="487"/>
      <c r="G36" s="17"/>
      <c r="H36" s="56"/>
      <c r="I36" s="458"/>
      <c r="J36" s="458"/>
      <c r="K36" s="30"/>
      <c r="L36" s="31"/>
    </row>
    <row r="37" spans="2:13" ht="20.149999999999999" customHeight="1" thickBot="1" x14ac:dyDescent="0.5">
      <c r="B37" s="32"/>
      <c r="C37" s="33"/>
      <c r="D37" s="488"/>
      <c r="E37" s="488"/>
      <c r="F37" s="488"/>
      <c r="G37" s="33"/>
      <c r="H37" s="57"/>
      <c r="I37" s="459"/>
      <c r="J37" s="459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89" t="s">
        <v>13</v>
      </c>
      <c r="K39" s="490"/>
      <c r="L39" s="38" t="e">
        <f>SUM(L17:L36)</f>
        <v>#N/A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 t="e">
        <f>L39*K40</f>
        <v>#N/A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91" t="s">
        <v>19</v>
      </c>
      <c r="K41" s="492"/>
      <c r="L41" s="41" t="e">
        <f>L39-L40</f>
        <v>#N/A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 t="e">
        <f>L41*K42</f>
        <v>#N/A</v>
      </c>
    </row>
    <row r="43" spans="2:13" ht="20.149999999999999" customHeight="1" thickBot="1" x14ac:dyDescent="0.5">
      <c r="B43" s="10" t="s">
        <v>676</v>
      </c>
      <c r="C43" s="6"/>
      <c r="D43" s="6"/>
      <c r="E43" s="6"/>
      <c r="F43" s="6"/>
      <c r="G43" s="6"/>
      <c r="H43" s="6"/>
      <c r="I43" s="6"/>
      <c r="J43" s="485" t="s">
        <v>21</v>
      </c>
      <c r="K43" s="486"/>
      <c r="L43" s="43" t="e">
        <f>L41+L42</f>
        <v>#N/A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144" t="s">
        <v>666</v>
      </c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8">
    <mergeCell ref="B15:D15"/>
    <mergeCell ref="J43:K43"/>
    <mergeCell ref="D35:F35"/>
    <mergeCell ref="I35:J35"/>
    <mergeCell ref="D36:F36"/>
    <mergeCell ref="I36:J36"/>
    <mergeCell ref="D37:F37"/>
    <mergeCell ref="I37:J37"/>
    <mergeCell ref="D34:F34"/>
    <mergeCell ref="I34:J34"/>
    <mergeCell ref="J39:K39"/>
    <mergeCell ref="J41:K41"/>
    <mergeCell ref="D31:F31"/>
    <mergeCell ref="I31:J31"/>
    <mergeCell ref="D32:F32"/>
    <mergeCell ref="I32:J32"/>
    <mergeCell ref="D33:F33"/>
    <mergeCell ref="I33:J33"/>
    <mergeCell ref="D28:F28"/>
    <mergeCell ref="I28:J28"/>
    <mergeCell ref="D29:F29"/>
    <mergeCell ref="I29:J29"/>
    <mergeCell ref="D30:F30"/>
    <mergeCell ref="I30:J30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116F3-7810-4B7A-A359-F651A25FDA97}">
  <sheetPr codeName="Sheet90">
    <tabColor rgb="FF7030A0"/>
    <pageSetUpPr fitToPage="1"/>
  </sheetPr>
  <dimension ref="B1:P43"/>
  <sheetViews>
    <sheetView topLeftCell="B17" workbookViewId="0">
      <selection activeCell="C23" sqref="C23:K2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7.7265625" style="19" customWidth="1"/>
    <col min="9" max="9" width="1.453125" style="19" customWidth="1"/>
    <col min="10" max="10" width="12.45312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188</v>
      </c>
      <c r="J10" s="24" t="s">
        <v>27</v>
      </c>
      <c r="K10" s="464">
        <v>202501110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 - Dessert                                    Sengkang General Community Hospital. 110 Sengkang East Way, #01-21 Singapore 544886                                 Attn: Jane  HP: 80636808                                                    </v>
      </c>
      <c r="G11" s="470"/>
      <c r="H11" s="471"/>
      <c r="J11" s="26" t="s">
        <v>9</v>
      </c>
      <c r="K11" s="478">
        <v>45661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116" t="s">
        <v>29</v>
      </c>
      <c r="I17" s="531" t="s">
        <v>53</v>
      </c>
      <c r="J17" s="531"/>
      <c r="K17" s="117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775</v>
      </c>
      <c r="D18" s="498" t="str">
        <f>VLOOKUP(C18,'Sales Master'!B$3:D$537,2,)</f>
        <v>Sweet Potato Powder 番薯粉</v>
      </c>
      <c r="E18" s="498"/>
      <c r="F18" s="498"/>
      <c r="G18" s="17">
        <v>2</v>
      </c>
      <c r="H18" s="56" t="str">
        <f>VLOOKUP(C18,'Sales Master'!$B$3:$F$2420,5,0)</f>
        <v>3 kgs</v>
      </c>
      <c r="I18" s="494" t="str">
        <f>VLOOKUP(C18,'Sales Master'!$B$3:$E$2420,4,0)</f>
        <v>RE-PACK</v>
      </c>
      <c r="J18" s="494"/>
      <c r="K18" s="30">
        <f>VLOOKUP(C18,'Sales Master'!B$3:BA$537,52,0)</f>
        <v>10.5</v>
      </c>
      <c r="L18" s="64">
        <f t="shared" ref="L18:L19" si="0">K18*G18</f>
        <v>21</v>
      </c>
      <c r="M18" s="65"/>
      <c r="N18" s="145">
        <f>VLOOKUP(C18,'Sales Master'!$B$3:$DA$2279,104,0)</f>
        <v>7.4399999999999995</v>
      </c>
      <c r="O18" s="145">
        <f>K18-N18</f>
        <v>3.0600000000000005</v>
      </c>
      <c r="P18" s="145">
        <f>O18*G18</f>
        <v>6.120000000000001</v>
      </c>
    </row>
    <row r="19" spans="2:16" ht="20.149999999999999" customHeight="1" x14ac:dyDescent="0.45">
      <c r="B19" s="29"/>
      <c r="C19" s="212" t="s">
        <v>966</v>
      </c>
      <c r="D19" s="487" t="str">
        <f>VLOOKUP(C19,'Sales Master'!B$3:D$537,2,)</f>
        <v>Coconut Milk 椰浆</v>
      </c>
      <c r="E19" s="487"/>
      <c r="F19" s="487"/>
      <c r="G19" s="17">
        <v>2</v>
      </c>
      <c r="H19" s="56" t="str">
        <f>VLOOKUP(C19,'Sales Master'!$B$3:$F$2420,5,0)</f>
        <v>(1L x 12bag)/箱</v>
      </c>
      <c r="I19" s="494" t="str">
        <f>VLOOKUP(C19,'Sales Master'!$B$3:$E$2420,4,0)</f>
        <v>Kara UHT</v>
      </c>
      <c r="J19" s="494"/>
      <c r="K19" s="30">
        <f>VLOOKUP(C19,'Sales Master'!B$3:BA$537,52,0)</f>
        <v>54</v>
      </c>
      <c r="L19" s="64">
        <f t="shared" si="0"/>
        <v>108</v>
      </c>
      <c r="M19" s="65"/>
      <c r="N19" s="145">
        <f>VLOOKUP(C19,'Sales Master'!$B$3:$DA$2279,104,0)</f>
        <v>35.799999999999997</v>
      </c>
      <c r="O19" s="145">
        <f>K19-N19</f>
        <v>18.200000000000003</v>
      </c>
      <c r="P19" s="145">
        <f>O19*G19</f>
        <v>36.400000000000006</v>
      </c>
    </row>
    <row r="20" spans="2:16" ht="20.149999999999999" customHeight="1" x14ac:dyDescent="0.45">
      <c r="B20" s="29"/>
      <c r="C20" s="212"/>
      <c r="D20" s="487"/>
      <c r="E20" s="487"/>
      <c r="F20" s="487"/>
      <c r="G20" s="17"/>
      <c r="H20" s="56"/>
      <c r="I20" s="494"/>
      <c r="J20" s="494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2"/>
      <c r="D21" s="487"/>
      <c r="E21" s="487"/>
      <c r="F21" s="487"/>
      <c r="G21" s="17"/>
      <c r="H21" s="56"/>
      <c r="I21" s="494"/>
      <c r="J21" s="494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87"/>
      <c r="E22" s="487"/>
      <c r="F22" s="487"/>
      <c r="G22" s="17"/>
      <c r="H22" s="56"/>
      <c r="I22" s="494"/>
      <c r="J22" s="494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49" t="s">
        <v>2271</v>
      </c>
      <c r="D23" s="403"/>
      <c r="E23" s="403"/>
      <c r="F23" s="403"/>
      <c r="G23" s="76"/>
      <c r="H23" s="186"/>
      <c r="I23" s="484"/>
      <c r="J23" s="484"/>
      <c r="K23" s="19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 t="s">
        <v>966</v>
      </c>
      <c r="D24" s="493" t="e">
        <f>VLOOKUP(C24,#REF!,2,0)</f>
        <v>#REF!</v>
      </c>
      <c r="E24" s="493"/>
      <c r="F24" s="493"/>
      <c r="G24" s="17">
        <v>1</v>
      </c>
      <c r="H24" s="186" t="e">
        <f>VLOOKUP(C24,#REF!,5,0)</f>
        <v>#REF!</v>
      </c>
      <c r="I24" s="484" t="e">
        <f>VLOOKUP(C24,#REF!,4,0)</f>
        <v>#REF!</v>
      </c>
      <c r="J24" s="484"/>
      <c r="K24" s="190">
        <v>48</v>
      </c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2"/>
      <c r="D25" s="487"/>
      <c r="E25" s="487"/>
      <c r="F25" s="487"/>
      <c r="G25" s="130"/>
      <c r="H25" s="56"/>
      <c r="I25" s="494"/>
      <c r="J25" s="494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2"/>
      <c r="D26" s="487"/>
      <c r="E26" s="487"/>
      <c r="F26" s="487"/>
      <c r="G26" s="17"/>
      <c r="H26" s="56"/>
      <c r="I26" s="494"/>
      <c r="J26" s="494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87"/>
      <c r="E27" s="487"/>
      <c r="F27" s="487"/>
      <c r="G27" s="17"/>
      <c r="H27" s="56"/>
      <c r="I27" s="494"/>
      <c r="J27" s="494"/>
      <c r="K27" s="30"/>
      <c r="L27" s="64"/>
      <c r="M27" s="65"/>
    </row>
    <row r="28" spans="2:16" ht="20.149999999999999" customHeight="1" x14ac:dyDescent="0.45">
      <c r="B28" s="29"/>
      <c r="C28" s="17"/>
      <c r="D28" s="487"/>
      <c r="E28" s="487"/>
      <c r="F28" s="487"/>
      <c r="G28" s="17"/>
      <c r="H28" s="56"/>
      <c r="I28" s="458"/>
      <c r="J28" s="458"/>
      <c r="K28" s="30"/>
      <c r="L28" s="31"/>
    </row>
    <row r="29" spans="2:16" ht="20.149999999999999" customHeight="1" thickBot="1" x14ac:dyDescent="0.5">
      <c r="B29" s="32"/>
      <c r="C29" s="33"/>
      <c r="D29" s="488"/>
      <c r="E29" s="488"/>
      <c r="F29" s="488"/>
      <c r="G29" s="33"/>
      <c r="H29" s="57"/>
      <c r="I29" s="459"/>
      <c r="J29" s="459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89" t="s">
        <v>13</v>
      </c>
      <c r="K31" s="490"/>
      <c r="L31" s="38">
        <f>SUM(L17:L28)</f>
        <v>129</v>
      </c>
      <c r="M31" s="63">
        <f>SUM(P18:P28)</f>
        <v>42.52000000000001</v>
      </c>
      <c r="N31" s="133">
        <f>M31/L31</f>
        <v>0.32961240310077528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91" t="s">
        <v>19</v>
      </c>
      <c r="K33" s="492"/>
      <c r="L33" s="41">
        <f>L31-L32</f>
        <v>129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11.61</v>
      </c>
    </row>
    <row r="35" spans="2:12" ht="20.149999999999999" customHeight="1" thickBot="1" x14ac:dyDescent="0.5">
      <c r="B35" s="10" t="s">
        <v>676</v>
      </c>
      <c r="C35" s="6"/>
      <c r="D35" s="6"/>
      <c r="E35" s="6"/>
      <c r="F35" s="6"/>
      <c r="G35" s="6"/>
      <c r="H35" s="6"/>
      <c r="I35" s="6"/>
      <c r="J35" s="485" t="s">
        <v>21</v>
      </c>
      <c r="K35" s="486"/>
      <c r="L35" s="43">
        <f>L33+L34</f>
        <v>140.61000000000001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666</v>
      </c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1">
    <mergeCell ref="D24:F24"/>
    <mergeCell ref="I24:J24"/>
    <mergeCell ref="D22:F22"/>
    <mergeCell ref="I22:J22"/>
    <mergeCell ref="I23:J23"/>
    <mergeCell ref="J35:K35"/>
    <mergeCell ref="D28:F28"/>
    <mergeCell ref="I28:J28"/>
    <mergeCell ref="D29:F29"/>
    <mergeCell ref="I29:J29"/>
    <mergeCell ref="J31:K31"/>
    <mergeCell ref="J33:K33"/>
    <mergeCell ref="D26:F26"/>
    <mergeCell ref="I26:J26"/>
    <mergeCell ref="D27:F27"/>
    <mergeCell ref="I27:J27"/>
    <mergeCell ref="I25:J25"/>
    <mergeCell ref="D25:F25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I18:J18"/>
    <mergeCell ref="B14:D14"/>
    <mergeCell ref="K14:L14"/>
    <mergeCell ref="K15:L15"/>
    <mergeCell ref="B15:D15"/>
    <mergeCell ref="D19:F19"/>
    <mergeCell ref="I20:J20"/>
    <mergeCell ref="I19:J19"/>
    <mergeCell ref="D21:F21"/>
    <mergeCell ref="I21:J21"/>
    <mergeCell ref="D20:F20"/>
  </mergeCells>
  <conditionalFormatting sqref="C23">
    <cfRule type="duplicateValues" dxfId="200" priority="1"/>
  </conditionalFormatting>
  <pageMargins left="0.70866141732283505" right="0.31496062992126" top="0.59055118110236204" bottom="0" header="0.31496062992126" footer="0.31496062992126"/>
  <pageSetup paperSize="9" scale="7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F9814-FCD2-40E6-A0B1-E4D43B30FDE1}">
  <sheetPr codeName="Sheet145">
    <tabColor rgb="FF7030A0"/>
    <pageSetUpPr fitToPage="1"/>
  </sheetPr>
  <dimension ref="B1:P47"/>
  <sheetViews>
    <sheetView workbookViewId="0">
      <selection activeCell="B1" sqref="B1:L4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346">
        <f>'#01'!M1</f>
        <v>0.09</v>
      </c>
    </row>
    <row r="2" spans="2:13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3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3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3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3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3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3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71</v>
      </c>
      <c r="J10" s="24" t="s">
        <v>27</v>
      </c>
      <c r="K10" s="464">
        <v>202412456</v>
      </c>
      <c r="L10" s="465"/>
    </row>
    <row r="11" spans="2:13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IR, Singapore Pool Stall                       2 Bayfront Avenue. #01-01  Singapore 018972</v>
      </c>
      <c r="G11" s="470"/>
      <c r="H11" s="471"/>
      <c r="J11" s="26" t="s">
        <v>9</v>
      </c>
      <c r="K11" s="478">
        <v>45646</v>
      </c>
      <c r="L11" s="479"/>
    </row>
    <row r="12" spans="2:13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3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3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3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3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846</v>
      </c>
      <c r="D18" s="487" t="str">
        <f>VLOOKUP(C18,'Sales Master'!B$3:D$537,2,)</f>
        <v>Pearl Barley 薏米</v>
      </c>
      <c r="E18" s="487"/>
      <c r="F18" s="487"/>
      <c r="G18" s="17">
        <v>3</v>
      </c>
      <c r="H18" s="188" t="str">
        <f>VLOOKUP(C18,'Sales Master'!$B$3:$F$2488,5,0)</f>
        <v>5 KG</v>
      </c>
      <c r="I18" s="499" t="str">
        <f>VLOOKUP(C18,'Sales Master'!$B$3:$E$2488,4,0)</f>
        <v>-</v>
      </c>
      <c r="J18" s="499"/>
      <c r="K18" s="30">
        <f>VLOOKUP(C18,'Sales Master'!$B$3:$AW$537,48,0)</f>
        <v>10</v>
      </c>
      <c r="L18" s="31">
        <f>K18*G18</f>
        <v>30</v>
      </c>
      <c r="N18" s="145">
        <f>VLOOKUP(C18,'Sales Master'!$B$3:$DA$2279,104,0)</f>
        <v>7.6</v>
      </c>
      <c r="O18" s="145">
        <f>K18-N18</f>
        <v>2.4000000000000004</v>
      </c>
      <c r="P18" s="145">
        <f>O18*G18</f>
        <v>7.2000000000000011</v>
      </c>
    </row>
    <row r="19" spans="2:16" ht="20.149999999999999" customHeight="1" x14ac:dyDescent="0.45">
      <c r="B19" s="29"/>
      <c r="C19" s="212"/>
      <c r="D19" s="487"/>
      <c r="E19" s="487"/>
      <c r="F19" s="487"/>
      <c r="G19" s="17"/>
      <c r="H19" s="188"/>
      <c r="I19" s="499"/>
      <c r="J19" s="499"/>
      <c r="K19" s="30"/>
      <c r="L19" s="31"/>
      <c r="N19" s="145"/>
      <c r="O19" s="145"/>
      <c r="P19" s="145"/>
    </row>
    <row r="20" spans="2:16" ht="20.149999999999999" customHeight="1" x14ac:dyDescent="0.45">
      <c r="B20" s="29"/>
      <c r="C20" s="212"/>
      <c r="D20" s="487"/>
      <c r="E20" s="487"/>
      <c r="F20" s="487"/>
      <c r="G20" s="17"/>
      <c r="H20" s="188"/>
      <c r="I20" s="499"/>
      <c r="J20" s="499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2"/>
      <c r="D21" s="487"/>
      <c r="E21" s="487"/>
      <c r="F21" s="487"/>
      <c r="G21" s="17"/>
      <c r="H21" s="204"/>
      <c r="I21" s="484"/>
      <c r="J21" s="484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17"/>
      <c r="D22" s="487"/>
      <c r="E22" s="487"/>
      <c r="F22" s="487"/>
      <c r="G22" s="17"/>
      <c r="H22" s="56"/>
      <c r="I22" s="458"/>
      <c r="J22" s="458"/>
      <c r="K22" s="30"/>
      <c r="L22" s="31"/>
    </row>
    <row r="23" spans="2:16" ht="20.149999999999999" customHeight="1" x14ac:dyDescent="0.45">
      <c r="B23" s="29"/>
      <c r="C23" s="17"/>
      <c r="D23" s="487"/>
      <c r="E23" s="487"/>
      <c r="F23" s="487"/>
      <c r="G23" s="17"/>
      <c r="H23" s="56"/>
      <c r="I23" s="458"/>
      <c r="J23" s="458"/>
      <c r="K23" s="30"/>
      <c r="L23" s="31"/>
    </row>
    <row r="24" spans="2:16" ht="20.149999999999999" customHeight="1" x14ac:dyDescent="0.45">
      <c r="B24" s="29"/>
      <c r="C24" s="17"/>
      <c r="D24" s="487"/>
      <c r="E24" s="487"/>
      <c r="F24" s="487"/>
      <c r="G24" s="17"/>
      <c r="H24" s="56"/>
      <c r="I24" s="458"/>
      <c r="J24" s="458"/>
      <c r="K24" s="30"/>
      <c r="L24" s="31"/>
    </row>
    <row r="25" spans="2:16" ht="20.149999999999999" customHeight="1" x14ac:dyDescent="0.45">
      <c r="B25" s="29"/>
      <c r="C25" s="17"/>
      <c r="G25" s="17"/>
      <c r="H25" s="56"/>
      <c r="I25" s="458"/>
      <c r="J25" s="458"/>
      <c r="K25" s="30"/>
      <c r="L25" s="31"/>
    </row>
    <row r="26" spans="2:16" ht="20.149999999999999" customHeight="1" x14ac:dyDescent="0.45">
      <c r="B26" s="29"/>
      <c r="C26" s="17"/>
      <c r="G26" s="17"/>
      <c r="H26" s="56"/>
      <c r="I26" s="458"/>
      <c r="J26" s="458"/>
      <c r="K26" s="30"/>
      <c r="L26" s="31"/>
    </row>
    <row r="27" spans="2:16" ht="20.149999999999999" customHeight="1" x14ac:dyDescent="0.45">
      <c r="B27" s="29"/>
      <c r="C27" s="17"/>
      <c r="G27" s="17"/>
      <c r="H27" s="56"/>
      <c r="I27" s="458"/>
      <c r="J27" s="458"/>
      <c r="K27" s="30"/>
      <c r="L27" s="31"/>
    </row>
    <row r="28" spans="2:16" ht="20.149999999999999" customHeight="1" x14ac:dyDescent="0.45">
      <c r="B28" s="29"/>
      <c r="C28" s="17"/>
      <c r="G28" s="17"/>
      <c r="H28" s="56"/>
      <c r="I28" s="17"/>
      <c r="J28" s="17"/>
      <c r="K28" s="30"/>
      <c r="L28" s="31"/>
    </row>
    <row r="29" spans="2:16" ht="20.149999999999999" customHeight="1" x14ac:dyDescent="0.45">
      <c r="B29" s="29"/>
      <c r="C29" s="17"/>
      <c r="G29" s="17"/>
      <c r="H29" s="56"/>
      <c r="I29" s="17"/>
      <c r="J29" s="17"/>
      <c r="K29" s="30"/>
      <c r="L29" s="31"/>
    </row>
    <row r="30" spans="2:16" ht="20.149999999999999" customHeight="1" x14ac:dyDescent="0.45">
      <c r="B30" s="29"/>
      <c r="C30" s="17"/>
      <c r="D30" s="487"/>
      <c r="E30" s="487"/>
      <c r="F30" s="487"/>
      <c r="G30" s="17"/>
      <c r="H30" s="56"/>
      <c r="I30" s="56"/>
      <c r="J30" s="17"/>
      <c r="K30" s="30"/>
      <c r="L30" s="31"/>
    </row>
    <row r="31" spans="2:16" ht="20.149999999999999" customHeight="1" x14ac:dyDescent="0.45">
      <c r="B31" s="29"/>
      <c r="C31" s="17"/>
      <c r="D31" s="487"/>
      <c r="E31" s="487"/>
      <c r="F31" s="487"/>
      <c r="G31" s="17"/>
      <c r="H31" s="56"/>
      <c r="I31" s="56"/>
      <c r="J31" s="17"/>
      <c r="K31" s="30"/>
      <c r="L31" s="31"/>
    </row>
    <row r="32" spans="2:16" ht="20.149999999999999" customHeight="1" x14ac:dyDescent="0.45">
      <c r="B32" s="29"/>
      <c r="C32" s="17"/>
      <c r="D32" s="487"/>
      <c r="E32" s="487"/>
      <c r="F32" s="487"/>
      <c r="G32" s="17"/>
      <c r="H32" s="17"/>
      <c r="I32" s="17"/>
      <c r="J32" s="17"/>
      <c r="K32" s="30"/>
      <c r="L32" s="31"/>
    </row>
    <row r="33" spans="2:14" ht="20.149999999999999" customHeight="1" thickBot="1" x14ac:dyDescent="0.5">
      <c r="B33" s="32"/>
      <c r="C33" s="33"/>
      <c r="D33" s="488"/>
      <c r="E33" s="488"/>
      <c r="F33" s="488"/>
      <c r="G33" s="33"/>
      <c r="H33" s="33"/>
      <c r="I33" s="33"/>
      <c r="J33" s="33"/>
      <c r="K33" s="34"/>
      <c r="L33" s="35"/>
    </row>
    <row r="34" spans="2:14" ht="20.149999999999999" customHeight="1" thickBot="1" x14ac:dyDescent="0.5">
      <c r="B34" s="36"/>
      <c r="L34" s="37"/>
    </row>
    <row r="35" spans="2:14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89" t="s">
        <v>13</v>
      </c>
      <c r="K35" s="490"/>
      <c r="L35" s="38">
        <f>SUM(L17:L33)</f>
        <v>30</v>
      </c>
      <c r="M35" s="63">
        <f>SUM(P18:P33)</f>
        <v>7.2000000000000011</v>
      </c>
      <c r="N35" s="133">
        <f>M35/L35</f>
        <v>0.24000000000000005</v>
      </c>
    </row>
    <row r="36" spans="2:14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4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91" t="s">
        <v>19</v>
      </c>
      <c r="K37" s="492"/>
      <c r="L37" s="41">
        <f>L35-L36</f>
        <v>30</v>
      </c>
    </row>
    <row r="38" spans="2:14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2.6999999999999997</v>
      </c>
    </row>
    <row r="39" spans="2:14" ht="20.149999999999999" customHeight="1" thickBot="1" x14ac:dyDescent="0.5">
      <c r="B39" s="10" t="s">
        <v>23</v>
      </c>
      <c r="C39" s="6"/>
      <c r="D39" s="6"/>
      <c r="E39" s="6"/>
      <c r="F39" s="6"/>
      <c r="G39" s="6"/>
      <c r="H39" s="6"/>
      <c r="I39" s="6"/>
      <c r="J39" s="485" t="s">
        <v>21</v>
      </c>
      <c r="K39" s="486"/>
      <c r="L39" s="43">
        <f>L37+L38</f>
        <v>32.700000000000003</v>
      </c>
    </row>
    <row r="40" spans="2:14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44"/>
      <c r="C45" s="45"/>
      <c r="D45" s="45"/>
      <c r="J45" s="45"/>
      <c r="K45" s="45"/>
      <c r="L45" s="46"/>
    </row>
    <row r="46" spans="2:14" ht="20.149999999999999" customHeight="1" x14ac:dyDescent="0.45">
      <c r="B46" s="36" t="s">
        <v>25</v>
      </c>
      <c r="J46" s="19" t="s">
        <v>26</v>
      </c>
      <c r="L46" s="37"/>
    </row>
    <row r="47" spans="2:14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39">
    <mergeCell ref="J39:K39"/>
    <mergeCell ref="D31:F31"/>
    <mergeCell ref="D32:F32"/>
    <mergeCell ref="D33:F33"/>
    <mergeCell ref="J35:K35"/>
    <mergeCell ref="J37:K37"/>
    <mergeCell ref="D21:F21"/>
    <mergeCell ref="I21:J21"/>
    <mergeCell ref="D30:F30"/>
    <mergeCell ref="D22:F22"/>
    <mergeCell ref="I22:J22"/>
    <mergeCell ref="D23:F23"/>
    <mergeCell ref="I23:J23"/>
    <mergeCell ref="D24:F24"/>
    <mergeCell ref="I24:J24"/>
    <mergeCell ref="I25:J25"/>
    <mergeCell ref="I26:J26"/>
    <mergeCell ref="I27:J27"/>
    <mergeCell ref="D19:F19"/>
    <mergeCell ref="I19:J19"/>
    <mergeCell ref="D20:F20"/>
    <mergeCell ref="I20:J20"/>
    <mergeCell ref="D17:F17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23622047244094491" bottom="0.23622047244094491" header="0.31496062992125984" footer="0.31496062992125984"/>
  <pageSetup paperSize="9" scale="78" orientation="portrait" horizontalDpi="300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E6B00-577B-4CCD-8C30-831D0B899DB6}">
  <sheetPr codeName="Sheet139">
    <tabColor rgb="FF7030A0"/>
    <pageSetUpPr fitToPage="1"/>
  </sheetPr>
  <dimension ref="B1:O51"/>
  <sheetViews>
    <sheetView topLeftCell="A9" workbookViewId="0">
      <selection activeCell="B1" sqref="B1:L5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7265625" style="19" customWidth="1"/>
    <col min="7" max="7" width="8.54296875" style="19" customWidth="1"/>
    <col min="8" max="8" width="17.54296875" style="19" customWidth="1"/>
    <col min="9" max="9" width="1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189</v>
      </c>
      <c r="J10" s="24" t="s">
        <v>27</v>
      </c>
      <c r="K10" s="464">
        <v>202105109</v>
      </c>
      <c r="L10" s="465"/>
    </row>
    <row r="11" spans="2:12" ht="20.149999999999999" customHeight="1" x14ac:dyDescent="0.45">
      <c r="B11" s="466" t="s">
        <v>1155</v>
      </c>
      <c r="C11" s="467"/>
      <c r="D11" s="468"/>
      <c r="E11" s="25"/>
      <c r="F11" s="469" t="str">
        <f>VLOOKUP(H10,'Delivery Location'!A$4:N$466,2,0)</f>
        <v xml:space="preserve">Koufu - Dim Sum                                   Sengkang General Community Hospital. 1 Anchorvale Street #01-21 S'pore 544835                                                           </v>
      </c>
      <c r="G11" s="470"/>
      <c r="H11" s="471"/>
      <c r="J11" s="26" t="s">
        <v>9</v>
      </c>
      <c r="K11" s="500">
        <v>44322</v>
      </c>
      <c r="L11" s="483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119" t="s">
        <v>587</v>
      </c>
      <c r="L15" s="118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7" t="s">
        <v>386</v>
      </c>
      <c r="I17" s="460" t="s">
        <v>385</v>
      </c>
      <c r="J17" s="462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841</v>
      </c>
      <c r="D18" s="487" t="str">
        <f>VLOOKUP(C18,'Sales Master'!B$3:D$537,2,)</f>
        <v>White Glutinous Rice 白糯米</v>
      </c>
      <c r="E18" s="487"/>
      <c r="F18" s="487"/>
      <c r="G18" s="17">
        <v>3</v>
      </c>
      <c r="H18" s="56" t="str">
        <f>VLOOKUP(C18,'Sales Master'!$B$3:$F$2488,5,0)</f>
        <v>5 KG</v>
      </c>
      <c r="I18" s="494" t="str">
        <f>VLOOKUP(C18,'Sales Master'!$B$3:$E$2488,4,0)</f>
        <v>-</v>
      </c>
      <c r="J18" s="494"/>
      <c r="K18" s="30">
        <f>VLOOKUP(C18,'Sales Master'!B$3:BA$537,52,0)</f>
        <v>10</v>
      </c>
      <c r="L18" s="64">
        <f>K18*G18</f>
        <v>30</v>
      </c>
      <c r="M18" s="65"/>
    </row>
    <row r="19" spans="2:15" ht="20.149999999999999" customHeight="1" x14ac:dyDescent="0.45">
      <c r="B19" s="29"/>
      <c r="C19" s="17"/>
      <c r="D19" s="487"/>
      <c r="E19" s="487"/>
      <c r="F19" s="487"/>
      <c r="G19" s="17"/>
      <c r="H19" s="56"/>
      <c r="I19" s="494"/>
      <c r="J19" s="494"/>
      <c r="K19" s="30"/>
      <c r="L19" s="64"/>
      <c r="M19" s="65"/>
    </row>
    <row r="20" spans="2:15" ht="20.149999999999999" customHeight="1" x14ac:dyDescent="0.45">
      <c r="B20" s="29"/>
      <c r="C20" s="17"/>
      <c r="D20" s="487"/>
      <c r="E20" s="487"/>
      <c r="F20" s="487"/>
      <c r="G20" s="17"/>
      <c r="H20" s="56"/>
      <c r="I20" s="494"/>
      <c r="J20" s="494"/>
      <c r="K20" s="30"/>
      <c r="L20" s="64"/>
      <c r="M20" s="65"/>
    </row>
    <row r="21" spans="2:15" ht="20.149999999999999" customHeight="1" x14ac:dyDescent="0.45">
      <c r="B21" s="29"/>
      <c r="C21" s="17"/>
      <c r="D21" s="487"/>
      <c r="E21" s="487"/>
      <c r="F21" s="487"/>
      <c r="G21" s="17"/>
      <c r="H21" s="56"/>
      <c r="I21" s="494"/>
      <c r="J21" s="494"/>
      <c r="K21" s="30"/>
      <c r="L21" s="64"/>
      <c r="M21" s="65"/>
    </row>
    <row r="22" spans="2:15" ht="20.149999999999999" customHeight="1" x14ac:dyDescent="0.45">
      <c r="B22" s="29"/>
      <c r="C22" s="17"/>
      <c r="D22" s="487"/>
      <c r="E22" s="487"/>
      <c r="F22" s="487"/>
      <c r="G22" s="17"/>
      <c r="H22" s="56"/>
      <c r="I22" s="494"/>
      <c r="J22" s="494"/>
      <c r="K22" s="30"/>
      <c r="L22" s="64"/>
      <c r="M22" s="65"/>
    </row>
    <row r="23" spans="2:15" ht="20.149999999999999" customHeight="1" x14ac:dyDescent="0.45">
      <c r="B23" s="29"/>
      <c r="C23" s="17"/>
      <c r="D23" s="487"/>
      <c r="E23" s="487"/>
      <c r="F23" s="487"/>
      <c r="G23" s="17"/>
      <c r="H23" s="56"/>
      <c r="I23" s="494"/>
      <c r="J23" s="494"/>
      <c r="K23" s="30"/>
      <c r="L23" s="64"/>
      <c r="M23" s="65"/>
    </row>
    <row r="24" spans="2:15" ht="20.149999999999999" customHeight="1" x14ac:dyDescent="0.45">
      <c r="B24" s="29"/>
      <c r="C24" s="17"/>
      <c r="D24" s="487"/>
      <c r="E24" s="487"/>
      <c r="F24" s="487"/>
      <c r="G24" s="17"/>
      <c r="H24" s="56"/>
      <c r="I24" s="494"/>
      <c r="J24" s="494"/>
      <c r="K24" s="30"/>
      <c r="L24" s="64"/>
      <c r="M24" s="65"/>
    </row>
    <row r="25" spans="2:15" ht="20.149999999999999" customHeight="1" x14ac:dyDescent="0.45">
      <c r="B25" s="29"/>
      <c r="C25" s="17"/>
      <c r="D25" s="487"/>
      <c r="E25" s="487"/>
      <c r="F25" s="487"/>
      <c r="G25" s="17"/>
      <c r="H25" s="56"/>
      <c r="I25" s="494"/>
      <c r="J25" s="494"/>
      <c r="K25" s="30"/>
      <c r="L25" s="64"/>
      <c r="M25" s="65"/>
    </row>
    <row r="26" spans="2:15" ht="20.149999999999999" customHeight="1" x14ac:dyDescent="0.45">
      <c r="B26" s="29"/>
      <c r="C26" s="17"/>
      <c r="D26" s="487"/>
      <c r="E26" s="487"/>
      <c r="F26" s="487"/>
      <c r="G26" s="17"/>
      <c r="H26" s="56"/>
      <c r="I26" s="458"/>
      <c r="J26" s="458"/>
      <c r="K26" s="30"/>
      <c r="L26" s="64"/>
      <c r="M26" s="65"/>
    </row>
    <row r="27" spans="2:15" ht="20.149999999999999" customHeight="1" x14ac:dyDescent="0.45">
      <c r="B27" s="29"/>
      <c r="C27" s="17"/>
      <c r="D27" s="487"/>
      <c r="E27" s="487"/>
      <c r="F27" s="487"/>
      <c r="G27" s="17"/>
      <c r="H27" s="56"/>
      <c r="I27" s="458"/>
      <c r="J27" s="458"/>
      <c r="K27" s="30"/>
      <c r="L27" s="64"/>
      <c r="M27" s="65"/>
    </row>
    <row r="28" spans="2:15" ht="20.149999999999999" customHeight="1" x14ac:dyDescent="0.45">
      <c r="B28" s="29"/>
      <c r="C28" s="17"/>
      <c r="D28" s="487"/>
      <c r="E28" s="487"/>
      <c r="F28" s="487"/>
      <c r="G28" s="17"/>
      <c r="H28" s="56"/>
      <c r="I28" s="458"/>
      <c r="J28" s="458"/>
      <c r="K28" s="30"/>
      <c r="L28" s="64"/>
      <c r="M28" s="65"/>
    </row>
    <row r="29" spans="2:15" ht="20.149999999999999" customHeight="1" x14ac:dyDescent="0.45">
      <c r="B29" s="29"/>
      <c r="C29" s="17"/>
      <c r="D29" s="487"/>
      <c r="E29" s="487"/>
      <c r="F29" s="487"/>
      <c r="G29" s="17"/>
      <c r="H29" s="56"/>
      <c r="I29" s="458"/>
      <c r="J29" s="458"/>
      <c r="K29" s="30"/>
      <c r="L29" s="64"/>
      <c r="M29" s="65"/>
    </row>
    <row r="30" spans="2:15" ht="20.149999999999999" customHeight="1" x14ac:dyDescent="0.45">
      <c r="B30" s="29"/>
      <c r="C30" s="17"/>
      <c r="D30" s="487"/>
      <c r="E30" s="487"/>
      <c r="F30" s="487"/>
      <c r="G30" s="17"/>
      <c r="H30" s="56"/>
      <c r="I30" s="458"/>
      <c r="J30" s="458"/>
      <c r="K30" s="30"/>
      <c r="L30" s="64"/>
      <c r="M30" s="65"/>
    </row>
    <row r="31" spans="2:15" ht="20.149999999999999" customHeight="1" x14ac:dyDescent="0.45">
      <c r="B31" s="29"/>
      <c r="C31" s="17"/>
      <c r="D31" s="487"/>
      <c r="E31" s="487"/>
      <c r="F31" s="487"/>
      <c r="G31" s="17"/>
      <c r="H31" s="56"/>
      <c r="I31" s="458"/>
      <c r="J31" s="458"/>
      <c r="K31" s="30"/>
      <c r="L31" s="64"/>
      <c r="M31" s="65"/>
    </row>
    <row r="32" spans="2:15" ht="20.149999999999999" customHeight="1" x14ac:dyDescent="0.45">
      <c r="B32" s="29"/>
      <c r="C32" s="17"/>
      <c r="D32" s="487"/>
      <c r="E32" s="487"/>
      <c r="F32" s="487"/>
      <c r="G32" s="17"/>
      <c r="H32" s="56"/>
      <c r="I32" s="458"/>
      <c r="J32" s="458"/>
      <c r="K32" s="30"/>
      <c r="L32" s="64"/>
      <c r="M32" s="65"/>
    </row>
    <row r="33" spans="2:13" ht="20.149999999999999" customHeight="1" x14ac:dyDescent="0.45">
      <c r="B33" s="29"/>
      <c r="C33" s="17"/>
      <c r="D33" s="487"/>
      <c r="E33" s="487"/>
      <c r="F33" s="487"/>
      <c r="G33" s="17"/>
      <c r="H33" s="56"/>
      <c r="I33" s="458"/>
      <c r="J33" s="458"/>
      <c r="K33" s="30"/>
      <c r="L33" s="64"/>
      <c r="M33" s="65"/>
    </row>
    <row r="34" spans="2:13" ht="20.149999999999999" customHeight="1" x14ac:dyDescent="0.45">
      <c r="B34" s="29"/>
      <c r="C34" s="17"/>
      <c r="D34" s="487"/>
      <c r="E34" s="487"/>
      <c r="F34" s="487"/>
      <c r="G34" s="17"/>
      <c r="H34" s="56"/>
      <c r="I34" s="458"/>
      <c r="J34" s="458"/>
      <c r="K34" s="30"/>
      <c r="L34" s="64"/>
      <c r="M34" s="65"/>
    </row>
    <row r="35" spans="2:13" ht="20.149999999999999" customHeight="1" x14ac:dyDescent="0.45">
      <c r="B35" s="29"/>
      <c r="C35" s="17"/>
      <c r="D35" s="487"/>
      <c r="E35" s="487"/>
      <c r="F35" s="487"/>
      <c r="G35" s="17"/>
      <c r="H35" s="56"/>
      <c r="I35" s="458"/>
      <c r="J35" s="458"/>
      <c r="K35" s="30"/>
      <c r="L35" s="64"/>
      <c r="M35" s="65"/>
    </row>
    <row r="36" spans="2:13" ht="20.149999999999999" customHeight="1" x14ac:dyDescent="0.45">
      <c r="B36" s="29"/>
      <c r="C36" s="17"/>
      <c r="D36" s="487"/>
      <c r="E36" s="487"/>
      <c r="F36" s="487"/>
      <c r="G36" s="17"/>
      <c r="H36" s="56"/>
      <c r="I36" s="458"/>
      <c r="J36" s="458"/>
      <c r="K36" s="30"/>
      <c r="L36" s="31"/>
    </row>
    <row r="37" spans="2:13" ht="20.149999999999999" customHeight="1" thickBot="1" x14ac:dyDescent="0.5">
      <c r="B37" s="32"/>
      <c r="C37" s="33"/>
      <c r="D37" s="488"/>
      <c r="E37" s="488"/>
      <c r="F37" s="488"/>
      <c r="G37" s="33"/>
      <c r="H37" s="57"/>
      <c r="I37" s="459"/>
      <c r="J37" s="459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89" t="s">
        <v>13</v>
      </c>
      <c r="K39" s="490"/>
      <c r="L39" s="38">
        <f>SUM(L17:L36)</f>
        <v>30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91" t="s">
        <v>19</v>
      </c>
      <c r="K41" s="492"/>
      <c r="L41" s="41">
        <f>L39-L40</f>
        <v>30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2.6999999999999997</v>
      </c>
    </row>
    <row r="43" spans="2:13" ht="20.149999999999999" customHeight="1" thickBot="1" x14ac:dyDescent="0.5">
      <c r="B43" s="10" t="s">
        <v>23</v>
      </c>
      <c r="C43" s="6"/>
      <c r="D43" s="6"/>
      <c r="E43" s="6"/>
      <c r="F43" s="6"/>
      <c r="G43" s="6"/>
      <c r="H43" s="6"/>
      <c r="I43" s="6"/>
      <c r="J43" s="485" t="s">
        <v>21</v>
      </c>
      <c r="K43" s="486"/>
      <c r="L43" s="43">
        <f>L41+L42</f>
        <v>32.700000000000003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7">
    <mergeCell ref="J43:K43"/>
    <mergeCell ref="D35:F35"/>
    <mergeCell ref="I35:J35"/>
    <mergeCell ref="D36:F36"/>
    <mergeCell ref="I36:J36"/>
    <mergeCell ref="D37:F37"/>
    <mergeCell ref="I37:J37"/>
    <mergeCell ref="D34:F34"/>
    <mergeCell ref="I34:J34"/>
    <mergeCell ref="J39:K39"/>
    <mergeCell ref="J41:K41"/>
    <mergeCell ref="D31:F31"/>
    <mergeCell ref="I31:J31"/>
    <mergeCell ref="D32:F32"/>
    <mergeCell ref="I32:J32"/>
    <mergeCell ref="D33:F33"/>
    <mergeCell ref="I33:J33"/>
    <mergeCell ref="D28:F28"/>
    <mergeCell ref="I28:J28"/>
    <mergeCell ref="D29:F29"/>
    <mergeCell ref="I29:J29"/>
    <mergeCell ref="D30:F30"/>
    <mergeCell ref="I30:J30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I18:J18"/>
    <mergeCell ref="B15:D15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64A64-6942-444B-AF28-8C165AF2B5BF}">
  <sheetPr codeName="Sheet148">
    <tabColor rgb="FFFFC000"/>
    <pageSetUpPr fitToPage="1"/>
  </sheetPr>
  <dimension ref="B1:V42"/>
  <sheetViews>
    <sheetView topLeftCell="A12" zoomScale="95" zoomScaleNormal="95" workbookViewId="0">
      <selection activeCell="K11" sqref="K11:L1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192</v>
      </c>
      <c r="J10" s="24" t="s">
        <v>27</v>
      </c>
      <c r="K10" s="464">
        <v>202406489</v>
      </c>
      <c r="L10" s="465"/>
    </row>
    <row r="11" spans="2:14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>FOOD REPUBLIC PTE LTD                                  Serangoon Nex@DRINK STALL                    23, Serangoon Central #B2-63                      Singapore 550683</v>
      </c>
      <c r="G11" s="470"/>
      <c r="H11" s="471"/>
      <c r="J11" s="26" t="s">
        <v>9</v>
      </c>
      <c r="K11" s="478">
        <v>45464</v>
      </c>
      <c r="L11" s="479"/>
    </row>
    <row r="12" spans="2:14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19" t="s">
        <v>968</v>
      </c>
    </row>
    <row r="13" spans="2:14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1272</v>
      </c>
    </row>
    <row r="14" spans="2:14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  <c r="N14" s="19" t="s">
        <v>1158</v>
      </c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/>
      <c r="C18" s="212" t="s">
        <v>1272</v>
      </c>
      <c r="D18" s="487" t="str">
        <f>VLOOKUP(C18,'Sales Master'!B$3:D$537,2,)</f>
        <v>Rock Sugar Syrup 冰糖浆</v>
      </c>
      <c r="E18" s="487"/>
      <c r="F18" s="487"/>
      <c r="G18" s="76">
        <v>8</v>
      </c>
      <c r="H18" s="183" t="str">
        <f>VLOOKUP(C18,'Sales Master'!$B$3:$F$2420,5,0)</f>
        <v>5 KG</v>
      </c>
      <c r="I18" s="513" t="str">
        <f>VLOOKUP(C18,'Sales Master'!$B$3:$E$2420,4,0)</f>
        <v>DO!</v>
      </c>
      <c r="J18" s="513"/>
      <c r="K18" s="83">
        <f>VLOOKUP(C18,'Sales Master'!B$3:I$537,8,0)</f>
        <v>11</v>
      </c>
      <c r="L18" s="84">
        <f>K18*G18</f>
        <v>88</v>
      </c>
      <c r="N18" s="145">
        <f>VLOOKUP(C18,'Sales Master'!$B$3:$DA$2279,104,0)</f>
        <v>5.86</v>
      </c>
      <c r="O18" s="145">
        <f>K18-N18</f>
        <v>5.14</v>
      </c>
      <c r="P18" s="145">
        <f>O18*G18</f>
        <v>41.12</v>
      </c>
      <c r="R18" s="170">
        <f>N18*G18*0.07</f>
        <v>3.2816000000000005</v>
      </c>
      <c r="S18" s="170">
        <f>N18*G18*0.08</f>
        <v>3.7504000000000004</v>
      </c>
      <c r="T18" s="93"/>
      <c r="U18" s="93"/>
      <c r="V18" s="93"/>
    </row>
    <row r="19" spans="2:22" ht="20.149999999999999" customHeight="1" x14ac:dyDescent="0.45">
      <c r="B19" s="29"/>
      <c r="C19" s="212"/>
      <c r="D19" s="487"/>
      <c r="E19" s="487"/>
      <c r="F19" s="487"/>
      <c r="G19" s="76"/>
      <c r="H19" s="183"/>
      <c r="I19" s="513"/>
      <c r="J19" s="513"/>
      <c r="K19" s="83"/>
      <c r="L19" s="84"/>
      <c r="N19" s="145"/>
      <c r="O19" s="145"/>
      <c r="P19" s="145"/>
      <c r="R19" s="170"/>
    </row>
    <row r="20" spans="2:22" ht="20.149999999999999" customHeight="1" x14ac:dyDescent="0.45">
      <c r="B20" s="29"/>
      <c r="C20" s="212"/>
      <c r="D20" s="487"/>
      <c r="E20" s="487"/>
      <c r="F20" s="487"/>
      <c r="G20" s="76"/>
      <c r="H20" s="183"/>
      <c r="I20" s="513"/>
      <c r="J20" s="513"/>
      <c r="K20" s="83"/>
      <c r="L20" s="84"/>
      <c r="N20" s="145"/>
      <c r="O20" s="145"/>
      <c r="P20" s="145"/>
      <c r="R20" s="170"/>
      <c r="S20" s="170"/>
    </row>
    <row r="21" spans="2:22" ht="20.149999999999999" customHeight="1" x14ac:dyDescent="0.45">
      <c r="B21" s="29"/>
      <c r="C21" s="212"/>
      <c r="D21" s="487"/>
      <c r="E21" s="487"/>
      <c r="F21" s="487"/>
      <c r="G21" s="76"/>
      <c r="H21" s="183"/>
      <c r="I21" s="513"/>
      <c r="J21" s="513"/>
      <c r="K21" s="83"/>
      <c r="L21" s="84"/>
      <c r="N21" s="145"/>
      <c r="O21" s="145"/>
      <c r="P21" s="145"/>
      <c r="R21" s="170">
        <f>N21*G21*0.07</f>
        <v>0</v>
      </c>
    </row>
    <row r="22" spans="2:22" ht="20.149999999999999" customHeight="1" x14ac:dyDescent="0.45">
      <c r="B22" s="29"/>
      <c r="C22" s="17"/>
      <c r="D22" s="487"/>
      <c r="E22" s="487"/>
      <c r="F22" s="487"/>
      <c r="G22" s="76"/>
      <c r="H22" s="56"/>
      <c r="I22" s="56"/>
      <c r="J22" s="56"/>
      <c r="K22" s="30"/>
      <c r="L22" s="31"/>
    </row>
    <row r="23" spans="2:22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31"/>
    </row>
    <row r="24" spans="2:22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31"/>
    </row>
    <row r="25" spans="2:22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31"/>
    </row>
    <row r="26" spans="2:22" ht="20.149999999999999" customHeight="1" x14ac:dyDescent="0.45">
      <c r="B26" s="29"/>
      <c r="C26" s="17"/>
      <c r="D26" s="487"/>
      <c r="E26" s="487"/>
      <c r="F26" s="487"/>
      <c r="G26" s="76"/>
      <c r="H26" s="56"/>
      <c r="I26" s="494"/>
      <c r="J26" s="494"/>
      <c r="K26" s="30"/>
      <c r="L26" s="31"/>
    </row>
    <row r="27" spans="2:22" ht="20.149999999999999" customHeight="1" x14ac:dyDescent="0.45">
      <c r="B27" s="29"/>
      <c r="C27" s="17"/>
      <c r="D27" s="487"/>
      <c r="E27" s="487"/>
      <c r="F27" s="487"/>
      <c r="G27" s="76"/>
      <c r="H27" s="56"/>
      <c r="I27" s="494"/>
      <c r="J27" s="494"/>
      <c r="K27" s="30"/>
      <c r="L27" s="31"/>
    </row>
    <row r="28" spans="2:22" ht="20.149999999999999" customHeight="1" x14ac:dyDescent="0.45">
      <c r="B28" s="104"/>
      <c r="C28" s="105"/>
      <c r="D28" s="514"/>
      <c r="E28" s="514"/>
      <c r="F28" s="514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SUM(L18:L29)</f>
        <v>88</v>
      </c>
      <c r="M30" s="63">
        <f>SUM(P18:P30)</f>
        <v>41.12</v>
      </c>
      <c r="N30" s="133">
        <f>M30/L30</f>
        <v>0.46727272727272723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88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7.92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95.92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666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8">
    <mergeCell ref="D25:F25"/>
    <mergeCell ref="I25:J25"/>
    <mergeCell ref="J32:K32"/>
    <mergeCell ref="J34:K34"/>
    <mergeCell ref="D26:F26"/>
    <mergeCell ref="I26:J26"/>
    <mergeCell ref="D27:F27"/>
    <mergeCell ref="I27:J27"/>
    <mergeCell ref="D28:F28"/>
    <mergeCell ref="J30:K30"/>
    <mergeCell ref="D23:F23"/>
    <mergeCell ref="I23:J23"/>
    <mergeCell ref="D24:F24"/>
    <mergeCell ref="I24:J24"/>
    <mergeCell ref="D22:F22"/>
    <mergeCell ref="I17:J17"/>
    <mergeCell ref="D20:F20"/>
    <mergeCell ref="I20:J20"/>
    <mergeCell ref="D21:F21"/>
    <mergeCell ref="I21:J21"/>
    <mergeCell ref="D18:F18"/>
    <mergeCell ref="I18:J18"/>
    <mergeCell ref="D17:F17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99" priority="1"/>
  </conditionalFormatting>
  <conditionalFormatting sqref="C19:C22">
    <cfRule type="duplicateValues" dxfId="198" priority="4"/>
  </conditionalFormatting>
  <conditionalFormatting sqref="C23">
    <cfRule type="duplicateValues" dxfId="197" priority="5"/>
  </conditionalFormatting>
  <conditionalFormatting sqref="C24">
    <cfRule type="duplicateValues" dxfId="196" priority="3"/>
  </conditionalFormatting>
  <conditionalFormatting sqref="C25">
    <cfRule type="duplicateValues" dxfId="195" priority="2"/>
  </conditionalFormatting>
  <conditionalFormatting sqref="C27">
    <cfRule type="duplicateValues" dxfId="194" priority="6"/>
  </conditionalFormatting>
  <pageMargins left="0.70866141732283472" right="0.31496062992125984" top="0.23622047244094491" bottom="0.23622047244094491" header="0.31496062992125984" footer="0.31496062992125984"/>
  <pageSetup paperSize="9" scale="77" orientation="portrait" horizontalDpi="300" verticalDpi="30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A6BF7-04A1-42A4-8708-8027C5AB13B9}">
  <sheetPr>
    <tabColor rgb="FFFFC000"/>
    <pageSetUpPr fitToPage="1"/>
  </sheetPr>
  <dimension ref="A1:M46"/>
  <sheetViews>
    <sheetView topLeftCell="A10" zoomScaleNormal="100" workbookViewId="0">
      <selection activeCell="K10" sqref="K10:L10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2" width="12.6328125" style="19" customWidth="1"/>
    <col min="13" max="13" width="19.7265625" style="19" customWidth="1"/>
    <col min="14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193</v>
      </c>
      <c r="J10" s="24" t="s">
        <v>27</v>
      </c>
      <c r="K10" s="464">
        <v>202501234</v>
      </c>
      <c r="L10" s="465"/>
    </row>
    <row r="11" spans="2:12" ht="20.149999999999999" customHeight="1" x14ac:dyDescent="0.45">
      <c r="B11" s="466" t="s">
        <v>678</v>
      </c>
      <c r="C11" s="467"/>
      <c r="D11" s="468"/>
      <c r="E11" s="25"/>
      <c r="F11" s="469" t="str">
        <f>VLOOKUP(H10,'Delivery Location'!A$4:N$466,2,0)</f>
        <v>Juice Stall                                                            Jewel Changi Airport. Five Spice, Stall #01. 78, Airport Boulevard. #B2-238/239/240. (819666)</v>
      </c>
      <c r="G11" s="470"/>
      <c r="H11" s="471"/>
      <c r="J11" s="26" t="s">
        <v>9</v>
      </c>
      <c r="K11" s="478">
        <v>45667</v>
      </c>
      <c r="L11" s="479"/>
    </row>
    <row r="12" spans="2:12" ht="20.149999999999999" customHeight="1" x14ac:dyDescent="0.45">
      <c r="B12" s="480" t="s">
        <v>524</v>
      </c>
      <c r="C12" s="453"/>
      <c r="D12" s="481"/>
      <c r="E12" s="25"/>
      <c r="F12" s="472"/>
      <c r="G12" s="473"/>
      <c r="H12" s="474"/>
      <c r="J12" s="26" t="s">
        <v>127</v>
      </c>
      <c r="K12" s="482">
        <v>4500322386</v>
      </c>
      <c r="L12" s="483"/>
    </row>
    <row r="13" spans="2:12" ht="20.149999999999999" customHeight="1" x14ac:dyDescent="0.45">
      <c r="B13" s="480" t="s">
        <v>525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609</v>
      </c>
      <c r="L13" s="483"/>
    </row>
    <row r="14" spans="2:12" ht="20.149999999999999" customHeight="1" x14ac:dyDescent="0.45">
      <c r="B14" s="480" t="s">
        <v>526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18" t="s">
        <v>527</v>
      </c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</row>
    <row r="16" spans="2:12" ht="12" customHeight="1" thickBot="1" x14ac:dyDescent="0.5">
      <c r="J16" s="17"/>
    </row>
    <row r="17" spans="1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1:13" ht="20.149999999999999" customHeight="1" x14ac:dyDescent="0.45">
      <c r="A18" s="65"/>
      <c r="B18" s="58">
        <v>520728</v>
      </c>
      <c r="C18" s="212" t="str">
        <f>VLOOKUP(B18,'Sales Master'!A$3:B$537,2,0)</f>
        <v>P4010</v>
      </c>
      <c r="D18" s="487" t="str">
        <f>VLOOKUP(C18,'Sales Master'!B$3:D$537,2,)</f>
        <v>Lychee in Syrup 荔枝</v>
      </c>
      <c r="E18" s="487"/>
      <c r="F18" s="487"/>
      <c r="G18" s="76">
        <v>2</v>
      </c>
      <c r="H18" s="247" t="str">
        <f>VLOOKUP(C18,'Sales Master'!$B$3:$F$2420,5,0)</f>
        <v>12can/箱</v>
      </c>
      <c r="I18" s="513" t="str">
        <f>VLOOKUP(C18,'Sales Master'!$B$3:$E$2420,4,0)</f>
        <v>MiLi</v>
      </c>
      <c r="J18" s="513"/>
      <c r="K18" s="83">
        <f>VLOOKUP(C18,'Sales Master'!B$3:I$537,8,0)</f>
        <v>26.5</v>
      </c>
      <c r="L18" s="84">
        <f t="shared" ref="L18" si="0">K18*G18</f>
        <v>53</v>
      </c>
    </row>
    <row r="19" spans="1:13" ht="20.149999999999999" customHeight="1" x14ac:dyDescent="0.45">
      <c r="A19" s="65"/>
      <c r="B19" s="58"/>
      <c r="C19" s="212"/>
      <c r="D19" s="487"/>
      <c r="E19" s="487"/>
      <c r="F19" s="487"/>
      <c r="G19" s="76"/>
      <c r="H19" s="247"/>
      <c r="I19" s="513"/>
      <c r="J19" s="513"/>
      <c r="K19" s="83"/>
      <c r="L19" s="84"/>
    </row>
    <row r="20" spans="1:13" ht="20.149999999999999" customHeight="1" x14ac:dyDescent="0.45">
      <c r="A20" s="65"/>
      <c r="B20" s="58"/>
      <c r="C20" s="212"/>
      <c r="D20" s="487"/>
      <c r="E20" s="487"/>
      <c r="F20" s="487"/>
      <c r="G20" s="76"/>
      <c r="H20" s="247"/>
      <c r="I20" s="513"/>
      <c r="J20" s="513"/>
      <c r="K20" s="83"/>
      <c r="L20" s="84"/>
    </row>
    <row r="21" spans="1:13" ht="20.149999999999999" customHeight="1" x14ac:dyDescent="0.45">
      <c r="A21" s="65"/>
      <c r="B21" s="58"/>
      <c r="C21" s="212"/>
      <c r="D21" s="487"/>
      <c r="E21" s="487"/>
      <c r="F21" s="487"/>
      <c r="G21" s="76"/>
      <c r="H21" s="247"/>
      <c r="I21" s="513"/>
      <c r="J21" s="513"/>
      <c r="K21" s="83"/>
      <c r="L21" s="84"/>
    </row>
    <row r="22" spans="1:13" ht="20.149999999999999" customHeight="1" x14ac:dyDescent="0.45">
      <c r="A22" s="65"/>
      <c r="B22" s="58"/>
      <c r="C22" s="212"/>
      <c r="D22" s="487"/>
      <c r="E22" s="487"/>
      <c r="F22" s="487"/>
      <c r="G22" s="76"/>
      <c r="H22" s="247"/>
      <c r="I22" s="513"/>
      <c r="J22" s="513"/>
      <c r="K22" s="83"/>
      <c r="L22" s="84"/>
    </row>
    <row r="23" spans="1:13" ht="20.149999999999999" customHeight="1" x14ac:dyDescent="0.45">
      <c r="A23" s="65"/>
      <c r="B23" s="242"/>
      <c r="C23" s="212"/>
      <c r="D23" s="487"/>
      <c r="E23" s="487"/>
      <c r="F23" s="487"/>
      <c r="G23" s="76"/>
      <c r="H23" s="247"/>
      <c r="I23" s="513"/>
      <c r="J23" s="513"/>
      <c r="K23" s="83"/>
      <c r="L23" s="84"/>
    </row>
    <row r="24" spans="1:13" ht="20.149999999999999" customHeight="1" x14ac:dyDescent="0.45">
      <c r="A24" s="65"/>
      <c r="B24" s="242"/>
      <c r="C24" s="212"/>
      <c r="D24" s="487"/>
      <c r="E24" s="487"/>
      <c r="F24" s="487"/>
      <c r="G24" s="76"/>
      <c r="H24" s="247"/>
      <c r="I24" s="513"/>
      <c r="J24" s="513"/>
      <c r="K24" s="83"/>
      <c r="L24" s="84"/>
    </row>
    <row r="25" spans="1:13" ht="20.149999999999999" customHeight="1" x14ac:dyDescent="0.45">
      <c r="A25" s="65"/>
      <c r="B25" s="242"/>
      <c r="C25" s="212"/>
      <c r="D25" s="487"/>
      <c r="E25" s="487"/>
      <c r="F25" s="487"/>
      <c r="G25" s="76"/>
      <c r="H25" s="247"/>
      <c r="I25" s="513"/>
      <c r="J25" s="513"/>
      <c r="K25" s="83"/>
      <c r="L25" s="84"/>
    </row>
    <row r="26" spans="1:13" ht="20.149999999999999" customHeight="1" x14ac:dyDescent="0.45">
      <c r="A26" s="65"/>
      <c r="B26" s="242"/>
      <c r="C26" s="212"/>
      <c r="D26" s="487"/>
      <c r="E26" s="487"/>
      <c r="F26" s="487"/>
      <c r="G26" s="76"/>
      <c r="H26" s="247"/>
      <c r="I26" s="513"/>
      <c r="J26" s="513"/>
      <c r="K26" s="83"/>
      <c r="L26" s="84"/>
    </row>
    <row r="27" spans="1:13" ht="20.149999999999999" customHeight="1" x14ac:dyDescent="0.45">
      <c r="A27" s="65"/>
      <c r="B27" s="242"/>
      <c r="C27" s="212"/>
      <c r="G27" s="76"/>
      <c r="H27" s="247"/>
      <c r="I27" s="209"/>
      <c r="J27" s="209"/>
      <c r="K27" s="83"/>
      <c r="L27" s="84"/>
    </row>
    <row r="28" spans="1:13" ht="20.149999999999999" customHeight="1" x14ac:dyDescent="0.45">
      <c r="A28" s="65"/>
      <c r="B28" s="242"/>
      <c r="C28" s="212"/>
      <c r="G28" s="76"/>
      <c r="H28" s="247"/>
      <c r="I28" s="209"/>
      <c r="J28" s="209"/>
      <c r="K28" s="83"/>
      <c r="L28" s="84"/>
    </row>
    <row r="29" spans="1:13" ht="20.149999999999999" customHeight="1" x14ac:dyDescent="0.45">
      <c r="A29" s="65"/>
      <c r="B29" s="242"/>
      <c r="C29" s="212"/>
      <c r="G29" s="76"/>
      <c r="H29" s="247"/>
      <c r="I29" s="209"/>
      <c r="J29" s="209"/>
      <c r="K29" s="83"/>
      <c r="L29" s="84"/>
    </row>
    <row r="30" spans="1:13" ht="20.149999999999999" customHeight="1" x14ac:dyDescent="0.45">
      <c r="A30" s="65"/>
      <c r="B30" s="139"/>
      <c r="C30" s="129"/>
      <c r="D30" s="140"/>
      <c r="E30" s="140"/>
      <c r="F30" s="140"/>
      <c r="G30" s="129"/>
      <c r="H30" s="138"/>
      <c r="I30" s="517"/>
      <c r="J30" s="517"/>
      <c r="K30" s="95"/>
      <c r="L30" s="98"/>
      <c r="M30" s="63"/>
    </row>
    <row r="31" spans="1:13" ht="20.149999999999999" customHeight="1" thickBot="1" x14ac:dyDescent="0.5">
      <c r="A31" s="65"/>
      <c r="B31" s="141"/>
      <c r="C31" s="76"/>
      <c r="D31" s="65"/>
      <c r="E31" s="65"/>
      <c r="F31" s="65"/>
      <c r="G31" s="76"/>
      <c r="H31" s="82"/>
      <c r="I31" s="76"/>
      <c r="J31" s="76"/>
      <c r="K31" s="83"/>
      <c r="L31" s="84"/>
    </row>
    <row r="32" spans="1:13" ht="20.149999999999999" customHeight="1" x14ac:dyDescent="0.45">
      <c r="A32" s="65"/>
      <c r="B32" s="142" t="s">
        <v>16</v>
      </c>
      <c r="C32" s="135"/>
      <c r="D32" s="135"/>
      <c r="E32" s="135"/>
      <c r="F32" s="135"/>
      <c r="G32" s="135"/>
      <c r="H32" s="135"/>
      <c r="I32" s="135"/>
      <c r="J32" s="515" t="s">
        <v>13</v>
      </c>
      <c r="K32" s="516"/>
      <c r="L32" s="143">
        <f>SUM(L18:L31)</f>
        <v>53</v>
      </c>
      <c r="M32" s="63">
        <f>SUM(P18:P31)</f>
        <v>0</v>
      </c>
    </row>
    <row r="33" spans="2:13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v>0</v>
      </c>
      <c r="M33" s="63"/>
    </row>
    <row r="34" spans="2:13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91" t="s">
        <v>19</v>
      </c>
      <c r="K34" s="492"/>
      <c r="L34" s="41">
        <f>L32-L33</f>
        <v>53</v>
      </c>
    </row>
    <row r="35" spans="2:13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4.7699999999999996</v>
      </c>
    </row>
    <row r="36" spans="2:13" ht="20.149999999999999" customHeight="1" thickBot="1" x14ac:dyDescent="0.5">
      <c r="B36" s="10" t="s">
        <v>676</v>
      </c>
      <c r="C36" s="6"/>
      <c r="D36" s="6"/>
      <c r="E36" s="6"/>
      <c r="F36" s="6"/>
      <c r="G36" s="6"/>
      <c r="H36" s="6"/>
      <c r="I36" s="6"/>
      <c r="J36" s="485" t="s">
        <v>21</v>
      </c>
      <c r="K36" s="486"/>
      <c r="L36" s="43">
        <f>L34+L35</f>
        <v>57.769999999999996</v>
      </c>
    </row>
    <row r="37" spans="2:13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3" ht="18" customHeight="1" x14ac:dyDescent="0.45">
      <c r="B38" s="144" t="s">
        <v>666</v>
      </c>
      <c r="L38" s="37"/>
    </row>
    <row r="39" spans="2:13" ht="18" customHeight="1" x14ac:dyDescent="0.45">
      <c r="B39" s="36"/>
      <c r="L39" s="37"/>
    </row>
    <row r="40" spans="2:13" ht="18" customHeight="1" x14ac:dyDescent="0.45">
      <c r="B40" s="36"/>
      <c r="L40" s="37"/>
    </row>
    <row r="41" spans="2:13" ht="18" customHeight="1" x14ac:dyDescent="0.45">
      <c r="B41" s="36"/>
      <c r="L41" s="37"/>
    </row>
    <row r="42" spans="2:13" ht="18" customHeight="1" x14ac:dyDescent="0.45">
      <c r="B42" s="36"/>
      <c r="L42" s="37"/>
    </row>
    <row r="43" spans="2:13" ht="18" customHeight="1" x14ac:dyDescent="0.45">
      <c r="B43" s="44"/>
      <c r="C43" s="45"/>
      <c r="D43" s="45"/>
      <c r="J43" s="45"/>
      <c r="K43" s="45"/>
      <c r="L43" s="46"/>
    </row>
    <row r="44" spans="2:13" ht="20.149999999999999" customHeight="1" x14ac:dyDescent="0.45">
      <c r="B44" s="36" t="s">
        <v>25</v>
      </c>
      <c r="J44" s="19" t="s">
        <v>26</v>
      </c>
      <c r="L44" s="37"/>
    </row>
    <row r="45" spans="2:13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  <row r="46" spans="2:13" ht="20.5" x14ac:dyDescent="0.45">
      <c r="F46" s="201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24:J24"/>
    <mergeCell ref="I22:J22"/>
    <mergeCell ref="I17:J17"/>
    <mergeCell ref="D23:F23"/>
    <mergeCell ref="I23:J23"/>
    <mergeCell ref="D19:F19"/>
    <mergeCell ref="I19:J19"/>
    <mergeCell ref="D18:F18"/>
    <mergeCell ref="I18:J18"/>
    <mergeCell ref="D17:F17"/>
    <mergeCell ref="D21:F21"/>
    <mergeCell ref="D24:F24"/>
    <mergeCell ref="D22:F22"/>
    <mergeCell ref="D20:F20"/>
    <mergeCell ref="I20:J20"/>
    <mergeCell ref="I21:J21"/>
    <mergeCell ref="D25:F25"/>
    <mergeCell ref="I25:J25"/>
    <mergeCell ref="D26:F26"/>
    <mergeCell ref="I26:J26"/>
    <mergeCell ref="J36:K36"/>
    <mergeCell ref="J32:K32"/>
    <mergeCell ref="J34:K34"/>
    <mergeCell ref="I30:J30"/>
  </mergeCells>
  <hyperlinks>
    <hyperlink ref="B15" r:id="rId1" xr:uid="{BF0F9107-7411-4830-A7F4-01ECC3C5C2F8}"/>
  </hyperlinks>
  <pageMargins left="0.74803149606299213" right="0" top="0" bottom="0" header="0" footer="0"/>
  <pageSetup paperSize="9" scale="71" orientation="portrait" r:id="rId2"/>
  <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7AA10-09A3-40E6-A740-FE158BF88202}">
  <sheetPr>
    <tabColor rgb="FFFFC000"/>
    <pageSetUpPr fitToPage="1"/>
  </sheetPr>
  <dimension ref="A1:M46"/>
  <sheetViews>
    <sheetView topLeftCell="A14" zoomScaleNormal="100" workbookViewId="0">
      <selection activeCell="L9" sqref="L9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2" width="12.6328125" style="19" customWidth="1"/>
    <col min="13" max="13" width="19.7265625" style="19" customWidth="1"/>
    <col min="14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193</v>
      </c>
      <c r="J10" s="24" t="s">
        <v>27</v>
      </c>
      <c r="K10" s="464">
        <v>202501235</v>
      </c>
      <c r="L10" s="465"/>
    </row>
    <row r="11" spans="2:12" ht="20.149999999999999" customHeight="1" x14ac:dyDescent="0.45">
      <c r="B11" s="466" t="s">
        <v>678</v>
      </c>
      <c r="C11" s="467"/>
      <c r="D11" s="468"/>
      <c r="E11" s="25"/>
      <c r="F11" s="469" t="str">
        <f>VLOOKUP(H10,'Delivery Location'!A$4:N$466,2,0)</f>
        <v>Juice Stall                                                            Jewel Changi Airport. Five Spice, Stall #01. 78, Airport Boulevard. #B2-238/239/240. (819666)</v>
      </c>
      <c r="G11" s="470"/>
      <c r="H11" s="471"/>
      <c r="J11" s="26" t="s">
        <v>9</v>
      </c>
      <c r="K11" s="478">
        <v>45667</v>
      </c>
      <c r="L11" s="479"/>
    </row>
    <row r="12" spans="2:12" ht="20.149999999999999" customHeight="1" x14ac:dyDescent="0.45">
      <c r="B12" s="480" t="s">
        <v>524</v>
      </c>
      <c r="C12" s="453"/>
      <c r="D12" s="481"/>
      <c r="E12" s="25"/>
      <c r="F12" s="472"/>
      <c r="G12" s="473"/>
      <c r="H12" s="474"/>
      <c r="J12" s="26" t="s">
        <v>127</v>
      </c>
      <c r="K12" s="482">
        <v>4500322387</v>
      </c>
      <c r="L12" s="483"/>
    </row>
    <row r="13" spans="2:12" ht="20.149999999999999" customHeight="1" x14ac:dyDescent="0.45">
      <c r="B13" s="480" t="s">
        <v>525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609</v>
      </c>
      <c r="L13" s="483"/>
    </row>
    <row r="14" spans="2:12" ht="20.149999999999999" customHeight="1" x14ac:dyDescent="0.45">
      <c r="B14" s="480" t="s">
        <v>526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18" t="s">
        <v>527</v>
      </c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</row>
    <row r="16" spans="2:12" ht="12" customHeight="1" thickBot="1" x14ac:dyDescent="0.5">
      <c r="J16" s="17"/>
    </row>
    <row r="17" spans="1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1:13" ht="20.149999999999999" customHeight="1" x14ac:dyDescent="0.45">
      <c r="A18" s="65"/>
      <c r="B18" s="58">
        <v>520695</v>
      </c>
      <c r="C18" s="212" t="str">
        <f>VLOOKUP(B18,'Sales Master'!A$3:B$537,2,0)</f>
        <v>P3001B</v>
      </c>
      <c r="D18" s="487" t="str">
        <f>VLOOKUP(C18,'Sales Master'!B$3:D$537,2,)</f>
        <v>Atap Seeds in Syrup 亚嗒子</v>
      </c>
      <c r="E18" s="487"/>
      <c r="F18" s="487"/>
      <c r="G18" s="76">
        <v>2</v>
      </c>
      <c r="H18" s="247" t="str">
        <f>VLOOKUP(C18,'Sales Master'!$B$3:$F$2420,5,0)</f>
        <v>NW(1.6:0.6) 2.2kg/ Bag包</v>
      </c>
      <c r="I18" s="513" t="str">
        <f>VLOOKUP(C18,'Sales Master'!$B$3:$E$2420,4,0)</f>
        <v>DO!</v>
      </c>
      <c r="J18" s="513"/>
      <c r="K18" s="83">
        <f>VLOOKUP(C18,'Sales Master'!B$3:I$537,8,0)</f>
        <v>10</v>
      </c>
      <c r="L18" s="84">
        <f t="shared" ref="L18" si="0">K18*G18</f>
        <v>20</v>
      </c>
    </row>
    <row r="19" spans="1:13" ht="20.149999999999999" customHeight="1" x14ac:dyDescent="0.45">
      <c r="A19" s="65"/>
      <c r="B19" s="58">
        <v>520700</v>
      </c>
      <c r="C19" s="212" t="str">
        <f>VLOOKUP(B19,'Sales Master'!A$3:B$537,2,0)</f>
        <v>P5002A</v>
      </c>
      <c r="D19" s="487" t="str">
        <f>VLOOKUP(C19,'Sales Master'!B$3:D$537,2,)</f>
        <v>Brown Sugar 黑糖</v>
      </c>
      <c r="E19" s="487"/>
      <c r="F19" s="487"/>
      <c r="G19" s="76">
        <v>1</v>
      </c>
      <c r="H19" s="247" t="str">
        <f>VLOOKUP(C19,'Sales Master'!$B$3:$F$2420,5,0)</f>
        <v>6 KG</v>
      </c>
      <c r="I19" s="513" t="str">
        <f>VLOOKUP(C19,'Sales Master'!$B$3:$E$2420,4,0)</f>
        <v>Star</v>
      </c>
      <c r="J19" s="513"/>
      <c r="K19" s="83">
        <f>VLOOKUP(C19,'Sales Master'!B$3:I$537,8,0)</f>
        <v>17</v>
      </c>
      <c r="L19" s="84">
        <f t="shared" ref="L19:L20" si="1">K19*G19</f>
        <v>17</v>
      </c>
    </row>
    <row r="20" spans="1:13" ht="20.149999999999999" customHeight="1" x14ac:dyDescent="0.45">
      <c r="A20" s="65"/>
      <c r="B20" s="58">
        <v>520704</v>
      </c>
      <c r="C20" s="212" t="str">
        <f>VLOOKUP(B20,'Sales Master'!A$3:B$537,2,0)</f>
        <v>M1014</v>
      </c>
      <c r="D20" s="487" t="str">
        <f>VLOOKUP(C20,'Sales Master'!B$3:D$537,2,)</f>
        <v>Chendol 浆咯</v>
      </c>
      <c r="E20" s="487"/>
      <c r="F20" s="487"/>
      <c r="G20" s="76">
        <v>3</v>
      </c>
      <c r="H20" s="247" t="str">
        <f>VLOOKUP(C20,'Sales Master'!$B$3:$F$2420,5,0)</f>
        <v>NW(2.2:0.8) 3kg/ Pkt包</v>
      </c>
      <c r="I20" s="513" t="str">
        <f>VLOOKUP(C20,'Sales Master'!$B$3:$E$2420,4,0)</f>
        <v>DO!</v>
      </c>
      <c r="J20" s="513"/>
      <c r="K20" s="83">
        <f>VLOOKUP(C20,'Sales Master'!B$3:I$537,8,0)</f>
        <v>7.5</v>
      </c>
      <c r="L20" s="84">
        <f t="shared" si="1"/>
        <v>22.5</v>
      </c>
    </row>
    <row r="21" spans="1:13" ht="20.149999999999999" customHeight="1" x14ac:dyDescent="0.45">
      <c r="A21" s="65"/>
      <c r="B21" s="58"/>
      <c r="C21" s="212"/>
      <c r="D21" s="487"/>
      <c r="E21" s="487"/>
      <c r="F21" s="487"/>
      <c r="G21" s="76"/>
      <c r="H21" s="247"/>
      <c r="I21" s="513"/>
      <c r="J21" s="513"/>
      <c r="K21" s="83"/>
      <c r="L21" s="84"/>
    </row>
    <row r="22" spans="1:13" ht="20.149999999999999" customHeight="1" x14ac:dyDescent="0.45">
      <c r="A22" s="65"/>
      <c r="B22" s="58"/>
      <c r="C22" s="212"/>
      <c r="D22" s="487"/>
      <c r="E22" s="487"/>
      <c r="F22" s="487"/>
      <c r="G22" s="76"/>
      <c r="H22" s="247"/>
      <c r="I22" s="513"/>
      <c r="J22" s="513"/>
      <c r="K22" s="83"/>
      <c r="L22" s="84"/>
    </row>
    <row r="23" spans="1:13" ht="20.149999999999999" customHeight="1" x14ac:dyDescent="0.45">
      <c r="A23" s="65"/>
      <c r="B23" s="242"/>
      <c r="C23" s="212"/>
      <c r="D23" s="487"/>
      <c r="E23" s="487"/>
      <c r="F23" s="487"/>
      <c r="G23" s="76"/>
      <c r="H23" s="247"/>
      <c r="I23" s="513"/>
      <c r="J23" s="513"/>
      <c r="K23" s="83"/>
      <c r="L23" s="84"/>
    </row>
    <row r="24" spans="1:13" ht="20.149999999999999" customHeight="1" x14ac:dyDescent="0.45">
      <c r="A24" s="65"/>
      <c r="B24" s="242"/>
      <c r="C24" s="212"/>
      <c r="D24" s="487"/>
      <c r="E24" s="487"/>
      <c r="F24" s="487"/>
      <c r="G24" s="76"/>
      <c r="H24" s="247"/>
      <c r="I24" s="513"/>
      <c r="J24" s="513"/>
      <c r="K24" s="83"/>
      <c r="L24" s="84"/>
    </row>
    <row r="25" spans="1:13" ht="20.149999999999999" customHeight="1" x14ac:dyDescent="0.45">
      <c r="A25" s="65"/>
      <c r="B25" s="242"/>
      <c r="C25" s="212"/>
      <c r="D25" s="487"/>
      <c r="E25" s="487"/>
      <c r="F25" s="487"/>
      <c r="G25" s="76"/>
      <c r="H25" s="247"/>
      <c r="I25" s="513"/>
      <c r="J25" s="513"/>
      <c r="K25" s="83"/>
      <c r="L25" s="84"/>
    </row>
    <row r="26" spans="1:13" ht="20.149999999999999" customHeight="1" x14ac:dyDescent="0.45">
      <c r="A26" s="65"/>
      <c r="B26" s="242"/>
      <c r="C26" s="212"/>
      <c r="D26" s="487"/>
      <c r="E26" s="487"/>
      <c r="F26" s="487"/>
      <c r="G26" s="76"/>
      <c r="H26" s="247"/>
      <c r="I26" s="513"/>
      <c r="J26" s="513"/>
      <c r="K26" s="83"/>
      <c r="L26" s="84"/>
    </row>
    <row r="27" spans="1:13" ht="20.149999999999999" customHeight="1" x14ac:dyDescent="0.45">
      <c r="A27" s="65"/>
      <c r="B27" s="242"/>
      <c r="C27" s="212"/>
      <c r="G27" s="76"/>
      <c r="H27" s="247"/>
      <c r="I27" s="209"/>
      <c r="J27" s="209"/>
      <c r="K27" s="83"/>
      <c r="L27" s="84"/>
    </row>
    <row r="28" spans="1:13" ht="20.149999999999999" customHeight="1" x14ac:dyDescent="0.45">
      <c r="A28" s="65"/>
      <c r="B28" s="242"/>
      <c r="C28" s="212"/>
      <c r="G28" s="76"/>
      <c r="H28" s="247"/>
      <c r="I28" s="209"/>
      <c r="J28" s="209"/>
      <c r="K28" s="83"/>
      <c r="L28" s="84"/>
    </row>
    <row r="29" spans="1:13" ht="20.149999999999999" customHeight="1" x14ac:dyDescent="0.45">
      <c r="A29" s="65"/>
      <c r="B29" s="242"/>
      <c r="C29" s="212"/>
      <c r="G29" s="76"/>
      <c r="H29" s="247"/>
      <c r="I29" s="209"/>
      <c r="J29" s="209"/>
      <c r="K29" s="83"/>
      <c r="L29" s="84"/>
    </row>
    <row r="30" spans="1:13" ht="20.149999999999999" customHeight="1" x14ac:dyDescent="0.45">
      <c r="A30" s="65"/>
      <c r="B30" s="139"/>
      <c r="C30" s="129"/>
      <c r="D30" s="140"/>
      <c r="E30" s="140"/>
      <c r="F30" s="140"/>
      <c r="G30" s="129"/>
      <c r="H30" s="138"/>
      <c r="I30" s="517"/>
      <c r="J30" s="517"/>
      <c r="K30" s="95"/>
      <c r="L30" s="98"/>
      <c r="M30" s="63"/>
    </row>
    <row r="31" spans="1:13" ht="20.149999999999999" customHeight="1" thickBot="1" x14ac:dyDescent="0.5">
      <c r="A31" s="65"/>
      <c r="B31" s="141"/>
      <c r="C31" s="76"/>
      <c r="D31" s="65"/>
      <c r="E31" s="65"/>
      <c r="F31" s="65"/>
      <c r="G31" s="76"/>
      <c r="H31" s="82"/>
      <c r="I31" s="76"/>
      <c r="J31" s="76"/>
      <c r="K31" s="83"/>
      <c r="L31" s="84"/>
    </row>
    <row r="32" spans="1:13" ht="20.149999999999999" customHeight="1" x14ac:dyDescent="0.45">
      <c r="A32" s="65"/>
      <c r="B32" s="142" t="s">
        <v>16</v>
      </c>
      <c r="C32" s="135"/>
      <c r="D32" s="135"/>
      <c r="E32" s="135"/>
      <c r="F32" s="135"/>
      <c r="G32" s="135"/>
      <c r="H32" s="135"/>
      <c r="I32" s="135"/>
      <c r="J32" s="515" t="s">
        <v>13</v>
      </c>
      <c r="K32" s="516"/>
      <c r="L32" s="143">
        <f>SUM(L18:L31)</f>
        <v>59.5</v>
      </c>
      <c r="M32" s="63">
        <f>SUM(P18:P31)</f>
        <v>0</v>
      </c>
    </row>
    <row r="33" spans="2:13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v>0</v>
      </c>
      <c r="M33" s="63"/>
    </row>
    <row r="34" spans="2:13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91" t="s">
        <v>19</v>
      </c>
      <c r="K34" s="492"/>
      <c r="L34" s="41">
        <f>L32-L33</f>
        <v>59.5</v>
      </c>
    </row>
    <row r="35" spans="2:13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5.3549999999999995</v>
      </c>
    </row>
    <row r="36" spans="2:13" ht="20.149999999999999" customHeight="1" thickBot="1" x14ac:dyDescent="0.5">
      <c r="B36" s="10" t="s">
        <v>676</v>
      </c>
      <c r="C36" s="6"/>
      <c r="D36" s="6"/>
      <c r="E36" s="6"/>
      <c r="F36" s="6"/>
      <c r="G36" s="6"/>
      <c r="H36" s="6"/>
      <c r="I36" s="6"/>
      <c r="J36" s="485" t="s">
        <v>21</v>
      </c>
      <c r="K36" s="486"/>
      <c r="L36" s="43">
        <f>L34+L35</f>
        <v>64.855000000000004</v>
      </c>
    </row>
    <row r="37" spans="2:13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3" ht="18" customHeight="1" x14ac:dyDescent="0.45">
      <c r="B38" s="144" t="s">
        <v>666</v>
      </c>
      <c r="L38" s="37"/>
    </row>
    <row r="39" spans="2:13" ht="18" customHeight="1" x14ac:dyDescent="0.45">
      <c r="B39" s="36"/>
      <c r="L39" s="37"/>
    </row>
    <row r="40" spans="2:13" ht="18" customHeight="1" x14ac:dyDescent="0.45">
      <c r="B40" s="36"/>
      <c r="L40" s="37"/>
    </row>
    <row r="41" spans="2:13" ht="18" customHeight="1" x14ac:dyDescent="0.45">
      <c r="B41" s="36"/>
      <c r="L41" s="37"/>
    </row>
    <row r="42" spans="2:13" ht="18" customHeight="1" x14ac:dyDescent="0.45">
      <c r="B42" s="36"/>
      <c r="L42" s="37"/>
    </row>
    <row r="43" spans="2:13" ht="18" customHeight="1" x14ac:dyDescent="0.45">
      <c r="B43" s="44"/>
      <c r="C43" s="45"/>
      <c r="D43" s="45"/>
      <c r="J43" s="45"/>
      <c r="K43" s="45"/>
      <c r="L43" s="46"/>
    </row>
    <row r="44" spans="2:13" ht="20.149999999999999" customHeight="1" x14ac:dyDescent="0.45">
      <c r="B44" s="36" t="s">
        <v>25</v>
      </c>
      <c r="J44" s="19" t="s">
        <v>26</v>
      </c>
      <c r="L44" s="37"/>
    </row>
    <row r="45" spans="2:13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  <row r="46" spans="2:13" ht="20.5" x14ac:dyDescent="0.45">
      <c r="F46" s="201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4:K34"/>
    <mergeCell ref="J36:K36"/>
    <mergeCell ref="D25:F25"/>
    <mergeCell ref="I25:J25"/>
    <mergeCell ref="D26:F26"/>
    <mergeCell ref="I26:J26"/>
    <mergeCell ref="I30:J30"/>
    <mergeCell ref="J32:K32"/>
  </mergeCells>
  <hyperlinks>
    <hyperlink ref="B15" r:id="rId1" xr:uid="{F51AFCC7-497D-4FAB-ACB5-128A9148E6A9}"/>
  </hyperlinks>
  <pageMargins left="0.74803149606299213" right="0" top="0" bottom="0" header="0" footer="0"/>
  <pageSetup paperSize="9" scale="71" orientation="portrait" r:id="rId2"/>
  <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DDE70-4119-403F-8952-B02AA4D90E16}">
  <sheetPr codeName="Sheet141">
    <tabColor theme="7"/>
    <pageSetUpPr fitToPage="1"/>
  </sheetPr>
  <dimension ref="B1:P47"/>
  <sheetViews>
    <sheetView topLeftCell="A23" zoomScaleNormal="100" workbookViewId="0">
      <selection activeCell="B1" sqref="B1:L4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3.45312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202</v>
      </c>
      <c r="J10" s="24" t="s">
        <v>27</v>
      </c>
      <c r="K10" s="464">
        <v>202504262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Punggol OASIS (Gourmet Paradise)      681 Punggol Drive #04-01               OASIS Terraces, Singapore 820681</v>
      </c>
      <c r="G11" s="470"/>
      <c r="H11" s="471"/>
      <c r="J11" s="26" t="s">
        <v>9</v>
      </c>
      <c r="K11" s="478">
        <v>45757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712</v>
      </c>
      <c r="D18" s="524" t="str">
        <f>VLOOKUP(C18,'Sales Master'!B$3:D$537,2,)</f>
        <v>Bobo ChaCha Cubes 摩摩喳喳</v>
      </c>
      <c r="E18" s="524"/>
      <c r="F18" s="524"/>
      <c r="G18" s="76">
        <v>6</v>
      </c>
      <c r="H18" s="186" t="str">
        <f>VLOOKUP(C18,'Sales Master'!$B$3:$F$2488,5,0)</f>
        <v>800 GM/ Bag包</v>
      </c>
      <c r="I18" s="484" t="str">
        <f>VLOOKUP(C18,'Sales Master'!$B$3:$E$2488,4,0)</f>
        <v>DO!</v>
      </c>
      <c r="J18" s="484"/>
      <c r="K18" s="30">
        <f>VLOOKUP(C18,'Sales Master'!B$3:AT$537,45,0)</f>
        <v>6</v>
      </c>
      <c r="L18" s="64">
        <f t="shared" ref="L18" si="0">K18*G18</f>
        <v>36</v>
      </c>
      <c r="M18" s="65"/>
      <c r="N18" s="145">
        <f>VLOOKUP(C18,'Sales Master'!$B$3:$DA$2279,104,0)</f>
        <v>0.89</v>
      </c>
      <c r="O18" s="145">
        <f t="shared" ref="O18" si="1">K18-N18</f>
        <v>5.1100000000000003</v>
      </c>
      <c r="P18" s="145">
        <f t="shared" ref="P18" si="2">O18*G18</f>
        <v>30.660000000000004</v>
      </c>
    </row>
    <row r="19" spans="2:16" ht="20.149999999999999" customHeight="1" x14ac:dyDescent="0.45">
      <c r="B19" s="29"/>
      <c r="C19" s="212"/>
      <c r="D19" s="524"/>
      <c r="E19" s="524"/>
      <c r="F19" s="524"/>
      <c r="G19" s="76"/>
      <c r="H19" s="186"/>
      <c r="I19" s="484"/>
      <c r="J19" s="484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212"/>
      <c r="D20" s="487"/>
      <c r="E20" s="487"/>
      <c r="F20" s="487"/>
      <c r="G20" s="76"/>
      <c r="H20" s="186"/>
      <c r="I20" s="484"/>
      <c r="J20" s="484"/>
      <c r="K20" s="30"/>
      <c r="L20" s="64"/>
      <c r="M20" s="65"/>
      <c r="N20" s="145"/>
      <c r="O20" s="145"/>
      <c r="P20" s="145"/>
    </row>
    <row r="21" spans="2:16" ht="20" customHeight="1" x14ac:dyDescent="0.45">
      <c r="B21" s="29"/>
      <c r="C21" s="212"/>
      <c r="D21" s="487"/>
      <c r="E21" s="487"/>
      <c r="F21" s="487"/>
      <c r="G21" s="76"/>
      <c r="H21" s="186"/>
      <c r="I21" s="484"/>
      <c r="J21" s="484"/>
      <c r="K21" s="30"/>
      <c r="L21" s="64"/>
      <c r="M21" s="65"/>
      <c r="N21" s="145"/>
      <c r="O21" s="145"/>
      <c r="P21" s="145"/>
    </row>
    <row r="22" spans="2:16" ht="20" customHeight="1" x14ac:dyDescent="0.45">
      <c r="B22" s="29"/>
      <c r="C22" s="212"/>
      <c r="D22" s="487"/>
      <c r="E22" s="487"/>
      <c r="F22" s="487"/>
      <c r="G22" s="76"/>
      <c r="H22" s="186"/>
      <c r="I22" s="484"/>
      <c r="J22" s="484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D23" s="487"/>
      <c r="E23" s="487"/>
      <c r="F23" s="487"/>
      <c r="G23" s="76"/>
      <c r="H23" s="186"/>
      <c r="I23" s="484"/>
      <c r="J23" s="484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D24" s="487"/>
      <c r="E24" s="487"/>
      <c r="F24" s="487"/>
      <c r="G24" s="76"/>
      <c r="H24" s="186"/>
      <c r="I24" s="484"/>
      <c r="J24" s="484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2"/>
      <c r="D25" s="487"/>
      <c r="E25" s="487"/>
      <c r="F25" s="487"/>
      <c r="G25" s="76"/>
      <c r="H25" s="186"/>
      <c r="I25" s="484"/>
      <c r="J25" s="484"/>
      <c r="K25" s="30"/>
      <c r="L25" s="64"/>
      <c r="M25" s="65"/>
      <c r="N25" s="145"/>
      <c r="O25" s="145"/>
      <c r="P25" s="145"/>
    </row>
    <row r="26" spans="2:16" ht="20" customHeight="1" x14ac:dyDescent="0.45">
      <c r="B26" s="29"/>
      <c r="C26" s="212"/>
      <c r="D26" s="487"/>
      <c r="E26" s="487"/>
      <c r="F26" s="487"/>
      <c r="G26" s="76"/>
      <c r="H26" s="186"/>
      <c r="I26" s="484"/>
      <c r="J26" s="484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2"/>
      <c r="D27" s="498"/>
      <c r="E27" s="498"/>
      <c r="F27" s="498"/>
      <c r="G27" s="76"/>
      <c r="H27" s="186"/>
      <c r="I27" s="484"/>
      <c r="J27" s="484"/>
      <c r="K27" s="30"/>
      <c r="L27" s="64"/>
      <c r="M27" s="65"/>
      <c r="N27" s="145"/>
      <c r="O27" s="145"/>
      <c r="P27" s="145"/>
    </row>
    <row r="28" spans="2:16" ht="20" customHeight="1" x14ac:dyDescent="0.45">
      <c r="B28" s="29"/>
      <c r="C28" s="212"/>
      <c r="D28" s="498"/>
      <c r="E28" s="498"/>
      <c r="F28" s="498"/>
      <c r="G28" s="76"/>
      <c r="H28" s="186"/>
      <c r="I28" s="484"/>
      <c r="J28" s="484"/>
      <c r="K28" s="30"/>
      <c r="L28" s="64"/>
      <c r="M28" s="65"/>
      <c r="N28" s="145"/>
      <c r="O28" s="145"/>
      <c r="P28" s="145"/>
    </row>
    <row r="29" spans="2:16" ht="20" customHeight="1" x14ac:dyDescent="0.45">
      <c r="B29" s="29"/>
      <c r="C29" s="149" t="s">
        <v>2146</v>
      </c>
      <c r="D29" s="403"/>
      <c r="E29" s="403"/>
      <c r="F29" s="403"/>
      <c r="G29" s="76"/>
      <c r="H29" s="186"/>
      <c r="I29" s="484"/>
      <c r="J29" s="484"/>
      <c r="K29" s="190"/>
      <c r="L29" s="64"/>
      <c r="M29" s="65"/>
      <c r="N29" s="145"/>
      <c r="O29" s="145"/>
      <c r="P29" s="145"/>
    </row>
    <row r="30" spans="2:16" ht="20" customHeight="1" x14ac:dyDescent="0.45">
      <c r="B30" s="29"/>
      <c r="C30" s="212" t="s">
        <v>966</v>
      </c>
      <c r="D30" s="487" t="str">
        <f>VLOOKUP(C30,'Sales Master'!B$3:D$537,2,)</f>
        <v>Coconut Milk 椰浆</v>
      </c>
      <c r="E30" s="487"/>
      <c r="F30" s="487"/>
      <c r="G30" s="17">
        <v>1</v>
      </c>
      <c r="H30" s="186" t="str">
        <f>VLOOKUP(C30,'Sales Master'!$B$3:$F$2488,5,0)</f>
        <v>(1L x 12bag)/箱</v>
      </c>
      <c r="I30" s="484" t="str">
        <f>VLOOKUP(C30,'Sales Master'!$B$3:$E$2488,4,0)</f>
        <v>Kara UHT</v>
      </c>
      <c r="J30" s="484"/>
      <c r="K30" s="190">
        <v>54</v>
      </c>
      <c r="L30" s="64"/>
      <c r="M30" s="65"/>
      <c r="N30" s="145"/>
      <c r="O30" s="145"/>
      <c r="P30" s="145"/>
    </row>
    <row r="31" spans="2:16" ht="20" customHeight="1" x14ac:dyDescent="0.45">
      <c r="B31" s="29"/>
      <c r="L31" s="64"/>
      <c r="M31" s="65"/>
      <c r="N31" s="145"/>
      <c r="O31" s="145"/>
      <c r="P31" s="145"/>
    </row>
    <row r="32" spans="2:16" ht="20" customHeight="1" x14ac:dyDescent="0.45">
      <c r="B32" s="29"/>
      <c r="L32" s="64"/>
      <c r="M32" s="65"/>
      <c r="N32" s="145"/>
      <c r="O32" s="145"/>
      <c r="P32" s="145"/>
    </row>
    <row r="33" spans="2:14" ht="20.149999999999999" customHeight="1" thickBot="1" x14ac:dyDescent="0.5">
      <c r="B33" s="32"/>
      <c r="C33" s="33"/>
      <c r="D33" s="488"/>
      <c r="E33" s="488"/>
      <c r="F33" s="488"/>
      <c r="G33" s="33"/>
      <c r="H33" s="57"/>
      <c r="I33" s="459"/>
      <c r="J33" s="459"/>
      <c r="K33" s="34"/>
      <c r="L33" s="35"/>
    </row>
    <row r="34" spans="2:14" ht="20.149999999999999" customHeight="1" thickBot="1" x14ac:dyDescent="0.5">
      <c r="B34" s="36"/>
      <c r="L34" s="37"/>
    </row>
    <row r="35" spans="2:14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89" t="s">
        <v>13</v>
      </c>
      <c r="K35" s="490"/>
      <c r="L35" s="38">
        <f>SUM(L18:L33)</f>
        <v>36</v>
      </c>
      <c r="M35" s="63">
        <f>SUM(P18:P33)-L35*0.02</f>
        <v>29.940000000000005</v>
      </c>
      <c r="N35" s="133">
        <f>M35/L35</f>
        <v>0.83166666666666678</v>
      </c>
    </row>
    <row r="36" spans="2:14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4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91" t="s">
        <v>19</v>
      </c>
      <c r="K37" s="492"/>
      <c r="L37" s="41">
        <f>L35-L36</f>
        <v>36</v>
      </c>
    </row>
    <row r="38" spans="2:14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3.2399999999999998</v>
      </c>
    </row>
    <row r="39" spans="2:14" ht="20.149999999999999" customHeight="1" thickBot="1" x14ac:dyDescent="0.5">
      <c r="B39" s="10" t="s">
        <v>23</v>
      </c>
      <c r="C39" s="6"/>
      <c r="D39" s="6"/>
      <c r="E39" s="6"/>
      <c r="F39" s="6"/>
      <c r="G39" s="6"/>
      <c r="H39" s="6"/>
      <c r="I39" s="6"/>
      <c r="J39" s="485" t="s">
        <v>21</v>
      </c>
      <c r="K39" s="486"/>
      <c r="L39" s="43">
        <f>L37+L38</f>
        <v>39.24</v>
      </c>
    </row>
    <row r="40" spans="2:14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4" ht="20.149999999999999" customHeight="1" x14ac:dyDescent="0.45">
      <c r="B41" s="36"/>
      <c r="L41" s="37"/>
    </row>
    <row r="42" spans="2:14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x14ac:dyDescent="0.45">
      <c r="B45" s="44"/>
      <c r="C45" s="45"/>
      <c r="D45" s="45"/>
      <c r="J45" s="45"/>
      <c r="K45" s="45"/>
      <c r="L45" s="46"/>
    </row>
    <row r="46" spans="2:14" ht="20.149999999999999" customHeight="1" x14ac:dyDescent="0.45">
      <c r="B46" s="36" t="s">
        <v>25</v>
      </c>
      <c r="J46" s="19" t="s">
        <v>26</v>
      </c>
      <c r="L46" s="37"/>
    </row>
    <row r="47" spans="2:14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5">
    <mergeCell ref="D30:F30"/>
    <mergeCell ref="I30:J30"/>
    <mergeCell ref="D28:F28"/>
    <mergeCell ref="I29:J29"/>
    <mergeCell ref="D22:F22"/>
    <mergeCell ref="I22:J22"/>
    <mergeCell ref="D27:F27"/>
    <mergeCell ref="D25:F25"/>
    <mergeCell ref="D23:F23"/>
    <mergeCell ref="D26:F26"/>
    <mergeCell ref="I28:J28"/>
    <mergeCell ref="I27:J27"/>
    <mergeCell ref="I25:J25"/>
    <mergeCell ref="I24:J24"/>
    <mergeCell ref="I23:J23"/>
    <mergeCell ref="I26:J26"/>
    <mergeCell ref="I20:J20"/>
    <mergeCell ref="D20:F20"/>
    <mergeCell ref="D24:F24"/>
    <mergeCell ref="D21:F21"/>
    <mergeCell ref="I21:J21"/>
    <mergeCell ref="I17:J17"/>
    <mergeCell ref="I18:J18"/>
    <mergeCell ref="D17:F17"/>
    <mergeCell ref="D18:F18"/>
    <mergeCell ref="I19:J19"/>
    <mergeCell ref="D19:F19"/>
    <mergeCell ref="J39:K39"/>
    <mergeCell ref="D33:F33"/>
    <mergeCell ref="I33:J33"/>
    <mergeCell ref="J37:K37"/>
    <mergeCell ref="J35:K3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conditionalFormatting sqref="C29">
    <cfRule type="duplicateValues" dxfId="193" priority="1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3A242-75A5-43C3-B19C-A4A1D60964D1}">
  <sheetPr codeName="Sheet35">
    <tabColor rgb="FFFFC000"/>
    <pageSetUpPr fitToPage="1"/>
  </sheetPr>
  <dimension ref="B1:V54"/>
  <sheetViews>
    <sheetView topLeftCell="A34" zoomScaleNormal="100" workbookViewId="0">
      <selection activeCell="B1" sqref="B1:L5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4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x14ac:dyDescent="0.45">
      <c r="B9" s="18"/>
      <c r="J9" s="45"/>
      <c r="K9" s="564"/>
      <c r="L9" s="564"/>
    </row>
    <row r="10" spans="2:12" ht="18" customHeight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203</v>
      </c>
      <c r="J10" s="123" t="s">
        <v>27</v>
      </c>
      <c r="K10" s="562">
        <v>202504280</v>
      </c>
      <c r="L10" s="563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 - Dessert                                            Block 168 Punggol Field #01-01      Punggol Plaza Singapore 820168               </v>
      </c>
      <c r="G11" s="470"/>
      <c r="H11" s="471"/>
      <c r="J11" s="26" t="s">
        <v>9</v>
      </c>
      <c r="K11" s="478">
        <v>45758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" customHeight="1" x14ac:dyDescent="0.45">
      <c r="B18" s="36"/>
      <c r="C18" s="212" t="s">
        <v>698</v>
      </c>
      <c r="D18" s="487" t="str">
        <f>VLOOKUP(C18,'Sales Master'!B$3:D$537,2,)</f>
        <v xml:space="preserve">Fresh Soursop 红毛榴莲 </v>
      </c>
      <c r="E18" s="487"/>
      <c r="F18" s="487"/>
      <c r="G18" s="76">
        <v>1</v>
      </c>
      <c r="H18" s="85" t="str">
        <f>VLOOKUP(C18,'Sales Master'!$B$3:$F$2488,5,0)</f>
        <v>GW:5 KG/ Tub桶</v>
      </c>
      <c r="I18" s="484" t="str">
        <f>VLOOKUP(C18,'Sales Master'!$B$3:$E$2488,4,0)</f>
        <v>DO!</v>
      </c>
      <c r="J18" s="484"/>
      <c r="K18" s="30">
        <f>VLOOKUP(C18,'Sales Master'!$B$3:$AU$537,46,0)</f>
        <v>31</v>
      </c>
      <c r="L18" s="31">
        <f t="shared" ref="L18" si="0">K18*G18</f>
        <v>31</v>
      </c>
      <c r="M18" s="63"/>
    </row>
    <row r="19" spans="2:13" ht="20" customHeight="1" x14ac:dyDescent="0.45">
      <c r="B19" s="36"/>
      <c r="C19" s="212" t="s">
        <v>712</v>
      </c>
      <c r="D19" s="487" t="str">
        <f>VLOOKUP(C19,'Sales Master'!B$3:D$537,2,)</f>
        <v>Bobo ChaCha Cubes 摩摩喳喳</v>
      </c>
      <c r="E19" s="487"/>
      <c r="F19" s="487"/>
      <c r="G19" s="76">
        <v>3</v>
      </c>
      <c r="H19" s="85" t="str">
        <f>VLOOKUP(C19,'Sales Master'!$B$3:$F$2488,5,0)</f>
        <v>800 GM/ Bag包</v>
      </c>
      <c r="I19" s="484" t="str">
        <f>VLOOKUP(C19,'Sales Master'!$B$3:$E$2488,4,0)</f>
        <v>DO!</v>
      </c>
      <c r="J19" s="484"/>
      <c r="K19" s="30">
        <f>VLOOKUP(C19,'Sales Master'!$B$3:$AU$537,46,0)</f>
        <v>6</v>
      </c>
      <c r="L19" s="31">
        <f>K19*G19</f>
        <v>18</v>
      </c>
      <c r="M19" s="63"/>
    </row>
    <row r="20" spans="2:13" ht="20" customHeight="1" x14ac:dyDescent="0.45">
      <c r="B20" s="36"/>
      <c r="C20" s="212" t="s">
        <v>717</v>
      </c>
      <c r="D20" s="498" t="str">
        <f>VLOOKUP(C20,'Sales Master'!B$3:D$537,2,)</f>
        <v>Pong Thai Hai (Wet) 碰大海(湿)</v>
      </c>
      <c r="E20" s="498"/>
      <c r="F20" s="498"/>
      <c r="G20" s="76">
        <v>2</v>
      </c>
      <c r="H20" s="85" t="str">
        <f>VLOOKUP(C20,'Sales Master'!$B$3:$F$2488,5,0)</f>
        <v>1 KG/ Pkt包</v>
      </c>
      <c r="I20" s="484" t="str">
        <f>VLOOKUP(C20,'Sales Master'!$B$3:$E$2488,4,0)</f>
        <v>DO!</v>
      </c>
      <c r="J20" s="484"/>
      <c r="K20" s="30">
        <f>VLOOKUP(C20,'Sales Master'!$B$3:$AU$537,46,0)</f>
        <v>10</v>
      </c>
      <c r="L20" s="31">
        <f>K20*G20</f>
        <v>20</v>
      </c>
      <c r="M20" s="63"/>
    </row>
    <row r="21" spans="2:13" ht="20" customHeight="1" x14ac:dyDescent="0.45">
      <c r="B21" s="36"/>
      <c r="C21" s="212" t="s">
        <v>745</v>
      </c>
      <c r="D21" s="521" t="str">
        <f>VLOOKUP(C21,'Sales Master'!B$3:D$537,2,)</f>
        <v>Jelly Powder 文头雪粉 (Carrageenan)</v>
      </c>
      <c r="E21" s="521"/>
      <c r="F21" s="521"/>
      <c r="G21" s="76">
        <v>1</v>
      </c>
      <c r="H21" s="85" t="str">
        <f>VLOOKUP(C21,'Sales Master'!$B$3:$F$2488,5,0)</f>
        <v>42gm x 10PKT/Bag</v>
      </c>
      <c r="I21" s="484" t="str">
        <f>VLOOKUP(C21,'Sales Master'!$B$3:$E$2488,4,0)</f>
        <v>500/4000</v>
      </c>
      <c r="J21" s="484"/>
      <c r="K21" s="30">
        <f>VLOOKUP(C21,'Sales Master'!$B$3:$AU$537,46,0)</f>
        <v>28</v>
      </c>
      <c r="L21" s="31">
        <f>K21*G21</f>
        <v>28</v>
      </c>
      <c r="M21" s="63"/>
    </row>
    <row r="22" spans="2:13" ht="20" customHeight="1" x14ac:dyDescent="0.45">
      <c r="B22" s="36"/>
      <c r="C22" s="212" t="s">
        <v>777</v>
      </c>
      <c r="D22" s="487" t="str">
        <f>VLOOKUP(C22,'Sales Master'!B$3:D$537,2,)</f>
        <v>Sweet Potato Powder 番薯粉</v>
      </c>
      <c r="E22" s="487"/>
      <c r="F22" s="487"/>
      <c r="G22" s="76">
        <v>1</v>
      </c>
      <c r="H22" s="85" t="str">
        <f>VLOOKUP(C22,'Sales Master'!$B$3:$F$2488,5,0)</f>
        <v>(500gm x 20Pkt)包</v>
      </c>
      <c r="I22" s="484" t="str">
        <f>VLOOKUP(C22,'Sales Master'!$B$3:$E$2488,4,0)</f>
        <v>RE-PACK</v>
      </c>
      <c r="J22" s="484"/>
      <c r="K22" s="30">
        <f>VLOOKUP(C22,'Sales Master'!$B$3:$AU$537,46,0)</f>
        <v>32</v>
      </c>
      <c r="L22" s="31">
        <f>K22*G22</f>
        <v>32</v>
      </c>
      <c r="M22" s="63"/>
    </row>
    <row r="23" spans="2:13" ht="20" customHeight="1" x14ac:dyDescent="0.45">
      <c r="B23" s="36"/>
      <c r="C23" s="212" t="s">
        <v>787</v>
      </c>
      <c r="D23" s="487" t="str">
        <f>VLOOKUP(C23,'Sales Master'!B$3:D$537,2,)</f>
        <v>Potato Starch 风车粉</v>
      </c>
      <c r="E23" s="487"/>
      <c r="F23" s="487"/>
      <c r="G23" s="76">
        <v>1</v>
      </c>
      <c r="H23" s="85" t="str">
        <f>VLOOKUP(C23,'Sales Master'!$B$3:$F$2488,5,0)</f>
        <v>350 GM x 24/ Ctn箱</v>
      </c>
      <c r="I23" s="484" t="str">
        <f>VLOOKUP(C23,'Sales Master'!$B$3:$E$2488,4,0)</f>
        <v>Windmill</v>
      </c>
      <c r="J23" s="484"/>
      <c r="K23" s="30">
        <f>VLOOKUP(C23,'Sales Master'!$B$3:$AU$537,46,0)</f>
        <v>41</v>
      </c>
      <c r="L23" s="31">
        <f>K23*G23</f>
        <v>41</v>
      </c>
      <c r="M23" s="63"/>
    </row>
    <row r="24" spans="2:13" ht="20" customHeight="1" x14ac:dyDescent="0.45">
      <c r="B24" s="36"/>
      <c r="C24" s="212" t="s">
        <v>805</v>
      </c>
      <c r="D24" s="487" t="str">
        <f>VLOOKUP(C24,'Sales Master'!B$3:D$537,2,)</f>
        <v>Atap Seeds in Syrup 亚嗒子</v>
      </c>
      <c r="E24" s="487"/>
      <c r="F24" s="487"/>
      <c r="G24" s="76">
        <v>5</v>
      </c>
      <c r="H24" s="85" t="str">
        <f>VLOOKUP(C24,'Sales Master'!$B$3:$F$2488,5,0)</f>
        <v>NW(1.6:0.6) 2.2kg/ Bag包</v>
      </c>
      <c r="I24" s="484" t="str">
        <f>VLOOKUP(C24,'Sales Master'!$B$3:$E$2488,4,0)</f>
        <v>DO!</v>
      </c>
      <c r="J24" s="484"/>
      <c r="K24" s="30">
        <f>VLOOKUP(C24,'Sales Master'!$B$3:$AU$537,46,0)</f>
        <v>9.5</v>
      </c>
      <c r="L24" s="31">
        <f t="shared" ref="L24" si="1">K24*G24</f>
        <v>47.5</v>
      </c>
      <c r="M24" s="63"/>
    </row>
    <row r="25" spans="2:13" ht="20" customHeight="1" x14ac:dyDescent="0.45">
      <c r="B25" s="36"/>
      <c r="C25" s="212" t="s">
        <v>812</v>
      </c>
      <c r="D25" s="487" t="str">
        <f>VLOOKUP(C25,'Sales Master'!B$3:D$537,2,)</f>
        <v>Red Bean 红豆 (5.5 mm)</v>
      </c>
      <c r="E25" s="487"/>
      <c r="F25" s="487"/>
      <c r="G25" s="76">
        <v>4</v>
      </c>
      <c r="H25" s="85" t="str">
        <f>VLOOKUP(C25,'Sales Master'!$B$3:$F$2488,5,0)</f>
        <v>5 KG</v>
      </c>
      <c r="I25" s="484" t="str">
        <f>VLOOKUP(C25,'Sales Master'!$B$3:$E$2488,4,0)</f>
        <v>-</v>
      </c>
      <c r="J25" s="484"/>
      <c r="K25" s="30">
        <f>VLOOKUP(C25,'Sales Master'!$B$3:$AU$537,46,0)</f>
        <v>17.5</v>
      </c>
      <c r="L25" s="31">
        <f>K25*G25</f>
        <v>70</v>
      </c>
      <c r="M25" s="63"/>
    </row>
    <row r="26" spans="2:13" ht="20" customHeight="1" x14ac:dyDescent="0.45">
      <c r="B26" s="36"/>
      <c r="C26" s="212" t="s">
        <v>844</v>
      </c>
      <c r="D26" s="487" t="str">
        <f>VLOOKUP(C26,'Sales Master'!B$3:D$537,2,)</f>
        <v>White Wheat 大麦</v>
      </c>
      <c r="E26" s="487"/>
      <c r="F26" s="487"/>
      <c r="G26" s="76">
        <v>1</v>
      </c>
      <c r="H26" s="85" t="str">
        <f>VLOOKUP(C26,'Sales Master'!$B$3:$F$2488,5,0)</f>
        <v>10 PKT/ Bag</v>
      </c>
      <c r="I26" s="484" t="str">
        <f>VLOOKUP(C26,'Sales Master'!$B$3:$E$2488,4,0)</f>
        <v>-</v>
      </c>
      <c r="J26" s="484"/>
      <c r="K26" s="30">
        <f>VLOOKUP(C26,'Sales Master'!$B$3:$AU$537,46,0)</f>
        <v>9.5</v>
      </c>
      <c r="L26" s="31">
        <f>K26*G26</f>
        <v>9.5</v>
      </c>
      <c r="M26" s="63"/>
    </row>
    <row r="27" spans="2:13" ht="20" customHeight="1" x14ac:dyDescent="0.45">
      <c r="B27" s="36"/>
      <c r="C27" s="212" t="s">
        <v>853</v>
      </c>
      <c r="D27" s="487" t="str">
        <f>VLOOKUP(C27,'Sales Master'!B$3:D$537,2,)</f>
        <v>Small Sago 小丸</v>
      </c>
      <c r="E27" s="487"/>
      <c r="F27" s="487"/>
      <c r="G27" s="76">
        <v>1</v>
      </c>
      <c r="H27" s="85" t="str">
        <f>VLOOKUP(C27,'Sales Master'!$B$3:$F$2488,5,0)</f>
        <v>5 KG</v>
      </c>
      <c r="I27" s="484" t="str">
        <f>VLOOKUP(C27,'Sales Master'!$B$3:$E$2488,4,0)</f>
        <v>-</v>
      </c>
      <c r="J27" s="484"/>
      <c r="K27" s="30">
        <f>VLOOKUP(C27,'Sales Master'!$B$3:$AU$537,46,0)</f>
        <v>10</v>
      </c>
      <c r="L27" s="31">
        <f>K27*G27</f>
        <v>10</v>
      </c>
      <c r="M27" s="63"/>
    </row>
    <row r="28" spans="2:13" ht="20" customHeight="1" x14ac:dyDescent="0.45">
      <c r="B28" s="36"/>
      <c r="C28" s="212" t="s">
        <v>862</v>
      </c>
      <c r="D28" s="487" t="str">
        <f>VLOOKUP(C28,'Sales Master'!B$3:D$537,2,)</f>
        <v>Fungus黄 木耳朵</v>
      </c>
      <c r="E28" s="487"/>
      <c r="F28" s="487"/>
      <c r="G28" s="76">
        <v>1</v>
      </c>
      <c r="H28" s="85" t="str">
        <f>VLOOKUP(C28,'Sales Master'!$B$3:$F$2488,5,0)</f>
        <v>1 kg</v>
      </c>
      <c r="I28" s="484" t="str">
        <f>VLOOKUP(C28,'Sales Master'!$B$3:$E$2488,4,0)</f>
        <v>黄</v>
      </c>
      <c r="J28" s="484"/>
      <c r="K28" s="30">
        <f>VLOOKUP(C28,'Sales Master'!$B$3:$AU$537,46,0)</f>
        <v>16</v>
      </c>
      <c r="L28" s="31">
        <f>K28*G28</f>
        <v>16</v>
      </c>
      <c r="M28" s="63"/>
    </row>
    <row r="29" spans="2:13" ht="20" customHeight="1" x14ac:dyDescent="0.45">
      <c r="B29" s="36"/>
      <c r="C29" s="212" t="s">
        <v>930</v>
      </c>
      <c r="D29" s="487" t="str">
        <f>VLOOKUP(C29,'Sales Master'!B$3:D$537,2,)</f>
        <v>Longan in Syrup 龙眼</v>
      </c>
      <c r="E29" s="487"/>
      <c r="F29" s="487"/>
      <c r="G29" s="76">
        <v>2</v>
      </c>
      <c r="H29" s="85" t="str">
        <f>VLOOKUP(C29,'Sales Master'!$B$3:$F$2488,5,0)</f>
        <v>(565gm x 12)/ Ctn箱</v>
      </c>
      <c r="I29" s="484" t="str">
        <f>VLOOKUP(C29,'Sales Master'!$B$3:$E$2488,4,0)</f>
        <v>YiFong</v>
      </c>
      <c r="J29" s="484"/>
      <c r="K29" s="30">
        <f>VLOOKUP(C29,'Sales Master'!$B$3:$AU$537,46,0)</f>
        <v>24</v>
      </c>
      <c r="L29" s="31">
        <f>K29*G29</f>
        <v>48</v>
      </c>
      <c r="M29" s="63"/>
    </row>
    <row r="30" spans="2:13" ht="20" customHeight="1" x14ac:dyDescent="0.45">
      <c r="B30" s="36"/>
      <c r="C30" s="212" t="s">
        <v>956</v>
      </c>
      <c r="D30" s="487" t="str">
        <f>VLOOKUP(C30,'Sales Master'!B$3:D$537,2,)</f>
        <v>GingKo Nut 白果罐</v>
      </c>
      <c r="E30" s="487"/>
      <c r="F30" s="487"/>
      <c r="G30" s="76">
        <v>1</v>
      </c>
      <c r="H30" s="85" t="str">
        <f>VLOOKUP(C30,'Sales Master'!$B$3:$F$2488,5,0)</f>
        <v>397 GM x 24/ Ctn箱</v>
      </c>
      <c r="I30" s="484" t="str">
        <f>VLOOKUP(C30,'Sales Master'!$B$3:$E$2488,4,0)</f>
        <v>Golden Champ</v>
      </c>
      <c r="J30" s="484"/>
      <c r="K30" s="30">
        <f>VLOOKUP(C30,'Sales Master'!$B$3:$AU$537,46,0)</f>
        <v>32</v>
      </c>
      <c r="L30" s="31">
        <f t="shared" ref="L30:L34" si="2">K30*G30</f>
        <v>32</v>
      </c>
      <c r="M30" s="63"/>
    </row>
    <row r="31" spans="2:13" ht="20" customHeight="1" x14ac:dyDescent="0.45">
      <c r="B31" s="36"/>
      <c r="C31" s="212" t="s">
        <v>966</v>
      </c>
      <c r="D31" s="487" t="str">
        <f>VLOOKUP(C31,'Sales Master'!B$3:D$537,2,)</f>
        <v>Coconut Milk 椰浆</v>
      </c>
      <c r="E31" s="487"/>
      <c r="F31" s="487"/>
      <c r="G31" s="76">
        <v>4</v>
      </c>
      <c r="H31" s="85" t="str">
        <f>VLOOKUP(C31,'Sales Master'!$B$3:$F$2488,5,0)</f>
        <v>(1L x 12bag)/箱</v>
      </c>
      <c r="I31" s="484" t="str">
        <f>VLOOKUP(C31,'Sales Master'!$B$3:$E$2488,4,0)</f>
        <v>Kara UHT</v>
      </c>
      <c r="J31" s="484"/>
      <c r="K31" s="30">
        <f>VLOOKUP(C31,'Sales Master'!$B$3:$AU$537,46,0)</f>
        <v>54</v>
      </c>
      <c r="L31" s="31">
        <f>K31*G31</f>
        <v>216</v>
      </c>
      <c r="M31" s="63"/>
    </row>
    <row r="32" spans="2:13" ht="20" customHeight="1" x14ac:dyDescent="0.45">
      <c r="B32" s="36"/>
      <c r="C32" s="212" t="s">
        <v>1004</v>
      </c>
      <c r="D32" s="487" t="str">
        <f>VLOOKUP(C32,'Sales Master'!B$3:D$537,2,)</f>
        <v>Sweet Potato 番薯</v>
      </c>
      <c r="E32" s="487"/>
      <c r="F32" s="487"/>
      <c r="G32" s="76">
        <v>30</v>
      </c>
      <c r="H32" s="85" t="str">
        <f>VLOOKUP(C32,'Sales Master'!$B$3:$F$2488,5,0)</f>
        <v>1 KG</v>
      </c>
      <c r="I32" s="484" t="str">
        <f>VLOOKUP(C32,'Sales Master'!$B$3:$E$2488,4,0)</f>
        <v>-</v>
      </c>
      <c r="J32" s="484"/>
      <c r="K32" s="30">
        <f>VLOOKUP(C32,'Sales Master'!$B$3:$AU$537,46,0)</f>
        <v>2.5</v>
      </c>
      <c r="L32" s="31">
        <f>K32*G32</f>
        <v>75</v>
      </c>
      <c r="M32" s="63"/>
    </row>
    <row r="33" spans="2:22" ht="20" customHeight="1" x14ac:dyDescent="0.45">
      <c r="B33" s="36"/>
      <c r="C33" s="212" t="s">
        <v>1007</v>
      </c>
      <c r="D33" s="487" t="str">
        <f>VLOOKUP(C33,'Sales Master'!B$3:D$537,2,)</f>
        <v>Yam 芋头</v>
      </c>
      <c r="E33" s="487"/>
      <c r="F33" s="487"/>
      <c r="G33" s="76">
        <v>7</v>
      </c>
      <c r="H33" s="85" t="str">
        <f>VLOOKUP(C33,'Sales Master'!$B$3:$F$2488,5,0)</f>
        <v>1 KG</v>
      </c>
      <c r="I33" s="484" t="str">
        <f>VLOOKUP(C33,'Sales Master'!$B$3:$E$2488,4,0)</f>
        <v>Malaysia</v>
      </c>
      <c r="J33" s="484"/>
      <c r="K33" s="30">
        <f>VLOOKUP(C33,'Sales Master'!$B$3:$AU$537,46,0)</f>
        <v>3</v>
      </c>
      <c r="L33" s="31">
        <f t="shared" si="2"/>
        <v>21</v>
      </c>
      <c r="M33" s="63"/>
    </row>
    <row r="34" spans="2:22" ht="20" customHeight="1" x14ac:dyDescent="0.45">
      <c r="B34" s="36"/>
      <c r="C34" s="212" t="s">
        <v>1009</v>
      </c>
      <c r="D34" s="487" t="str">
        <f>VLOOKUP(C34,'Sales Master'!B$3:D$537,2,)</f>
        <v>Pandan Leaf 班兰叶</v>
      </c>
      <c r="E34" s="487"/>
      <c r="F34" s="487"/>
      <c r="G34" s="76">
        <v>7</v>
      </c>
      <c r="H34" s="85" t="str">
        <f>VLOOKUP(C34,'Sales Master'!$B$3:$F$2488,5,0)</f>
        <v>1 KG</v>
      </c>
      <c r="I34" s="484" t="str">
        <f>VLOOKUP(C34,'Sales Master'!$B$3:$E$2488,4,0)</f>
        <v>-</v>
      </c>
      <c r="J34" s="484"/>
      <c r="K34" s="30">
        <f>VLOOKUP(C34,'Sales Master'!$B$3:$AU$537,46,0)</f>
        <v>1.8</v>
      </c>
      <c r="L34" s="31">
        <f t="shared" si="2"/>
        <v>12.6</v>
      </c>
      <c r="M34" s="63"/>
    </row>
    <row r="35" spans="2:22" ht="20" customHeight="1" x14ac:dyDescent="0.45">
      <c r="B35" s="36"/>
      <c r="C35" s="212" t="s">
        <v>1017</v>
      </c>
      <c r="D35" s="487" t="str">
        <f>VLOOKUP(C35,'Sales Master'!B$3:D$537,2,)</f>
        <v>Food Coloring - Liquid 颜色水</v>
      </c>
      <c r="E35" s="487"/>
      <c r="F35" s="487"/>
      <c r="G35" s="76">
        <v>1</v>
      </c>
      <c r="H35" s="85" t="str">
        <f>VLOOKUP(C35,'Sales Master'!$B$3:$F$2488,5,0)</f>
        <v>500 ML/ Btl支</v>
      </c>
      <c r="I35" s="484" t="str">
        <f>VLOOKUP(C35,'Sales Master'!$B$3:$E$2488,4,0)</f>
        <v>Red/红</v>
      </c>
      <c r="J35" s="484"/>
      <c r="K35" s="30">
        <f>VLOOKUP(C35,'Sales Master'!$B$3:$AU$537,46,0)</f>
        <v>2.5</v>
      </c>
      <c r="L35" s="31">
        <f>K35*G35</f>
        <v>2.5</v>
      </c>
      <c r="M35" s="63"/>
    </row>
    <row r="36" spans="2:22" ht="20" customHeight="1" x14ac:dyDescent="0.45">
      <c r="B36" s="36"/>
      <c r="C36" s="212"/>
      <c r="D36" s="487"/>
      <c r="E36" s="487"/>
      <c r="F36" s="487"/>
      <c r="G36" s="76"/>
      <c r="H36" s="85"/>
      <c r="I36" s="484"/>
      <c r="J36" s="484"/>
      <c r="K36" s="30"/>
      <c r="L36" s="31"/>
      <c r="M36" s="63"/>
    </row>
    <row r="37" spans="2:22" ht="20" customHeight="1" x14ac:dyDescent="0.45">
      <c r="B37" s="36"/>
      <c r="C37" s="212"/>
      <c r="G37" s="76"/>
      <c r="H37" s="85"/>
      <c r="I37" s="208"/>
      <c r="J37" s="208"/>
      <c r="K37" s="30"/>
      <c r="L37" s="31"/>
      <c r="M37" s="63"/>
    </row>
    <row r="38" spans="2:22" ht="20" customHeight="1" x14ac:dyDescent="0.45">
      <c r="B38" s="36"/>
      <c r="C38" s="149" t="s">
        <v>2146</v>
      </c>
      <c r="D38" s="403"/>
      <c r="E38" s="403"/>
      <c r="F38" s="403"/>
      <c r="G38" s="76"/>
      <c r="H38" s="186"/>
      <c r="I38" s="484"/>
      <c r="J38" s="484"/>
      <c r="K38" s="190"/>
      <c r="L38" s="31"/>
      <c r="M38" s="63"/>
    </row>
    <row r="39" spans="2:22" ht="20" customHeight="1" x14ac:dyDescent="0.45">
      <c r="B39" s="36"/>
      <c r="C39" s="212" t="s">
        <v>966</v>
      </c>
      <c r="D39" s="487" t="str">
        <f>VLOOKUP(C39,'Sales Master'!B$3:D$537,2,)</f>
        <v>Coconut Milk 椰浆</v>
      </c>
      <c r="E39" s="487"/>
      <c r="F39" s="487"/>
      <c r="G39" s="17">
        <v>1</v>
      </c>
      <c r="H39" s="85" t="str">
        <f>VLOOKUP(C39,'Sales Master'!$B$3:$F$2488,5,0)</f>
        <v>(1L x 12bag)/箱</v>
      </c>
      <c r="I39" s="484" t="str">
        <f>VLOOKUP(C39,'Sales Master'!$B$3:$E$2488,4,0)</f>
        <v>Kara UHT</v>
      </c>
      <c r="J39" s="484"/>
      <c r="K39" s="190">
        <v>54</v>
      </c>
      <c r="L39" s="31"/>
      <c r="M39" s="63"/>
    </row>
    <row r="40" spans="2:22" ht="20" customHeight="1" x14ac:dyDescent="0.45">
      <c r="B40" s="104"/>
      <c r="C40" s="105"/>
      <c r="D40" s="514"/>
      <c r="E40" s="514"/>
      <c r="F40" s="514"/>
      <c r="G40" s="105"/>
      <c r="H40" s="105"/>
      <c r="I40" s="124"/>
      <c r="J40" s="124"/>
      <c r="K40" s="108"/>
      <c r="L40" s="125"/>
      <c r="M40" s="63"/>
      <c r="S40" s="93">
        <f>SUM(S17:S35)</f>
        <v>0</v>
      </c>
      <c r="T40" s="93"/>
      <c r="U40" s="93"/>
      <c r="V40" s="93"/>
    </row>
    <row r="41" spans="2:22" ht="20.149999999999999" customHeight="1" thickBot="1" x14ac:dyDescent="0.5">
      <c r="B41" s="36"/>
      <c r="L41" s="37"/>
    </row>
    <row r="42" spans="2:22" ht="20.149999999999999" customHeight="1" x14ac:dyDescent="0.45">
      <c r="B42" s="10" t="s">
        <v>16</v>
      </c>
      <c r="C42" s="6"/>
      <c r="D42" s="6"/>
      <c r="E42" s="6"/>
      <c r="F42" s="6"/>
      <c r="G42" s="6"/>
      <c r="H42" s="6"/>
      <c r="I42" s="6"/>
      <c r="J42" s="489" t="s">
        <v>13</v>
      </c>
      <c r="K42" s="490"/>
      <c r="L42" s="38">
        <f>SUM(L18:L41)</f>
        <v>730.1</v>
      </c>
      <c r="M42" s="63">
        <f>SUM(P18:P40)-L42*0.02</f>
        <v>-14.602</v>
      </c>
    </row>
    <row r="43" spans="2:22" ht="20.149999999999999" customHeight="1" x14ac:dyDescent="0.45">
      <c r="B43" s="10" t="s">
        <v>17</v>
      </c>
      <c r="C43" s="6"/>
      <c r="D43" s="6"/>
      <c r="E43" s="6"/>
      <c r="F43" s="6"/>
      <c r="G43" s="6"/>
      <c r="H43" s="6"/>
      <c r="I43" s="6"/>
      <c r="J43" s="39" t="s">
        <v>20</v>
      </c>
      <c r="K43" s="40"/>
      <c r="L43" s="41">
        <f>L42*K43</f>
        <v>0</v>
      </c>
    </row>
    <row r="44" spans="2:22" ht="20.149999999999999" customHeight="1" x14ac:dyDescent="0.45">
      <c r="B44" s="10" t="s">
        <v>18</v>
      </c>
      <c r="C44" s="6"/>
      <c r="D44" s="6"/>
      <c r="E44" s="6"/>
      <c r="F44" s="6"/>
      <c r="G44" s="6"/>
      <c r="H44" s="6"/>
      <c r="I44" s="6"/>
      <c r="J44" s="491" t="s">
        <v>19</v>
      </c>
      <c r="K44" s="492"/>
      <c r="L44" s="41">
        <f>L42-L43</f>
        <v>730.1</v>
      </c>
    </row>
    <row r="45" spans="2:22" ht="20.149999999999999" customHeight="1" x14ac:dyDescent="0.45">
      <c r="B45" s="10" t="s">
        <v>22</v>
      </c>
      <c r="C45" s="6"/>
      <c r="D45" s="6"/>
      <c r="E45" s="6"/>
      <c r="F45" s="6"/>
      <c r="G45" s="6"/>
      <c r="H45" s="6"/>
      <c r="I45" s="6"/>
      <c r="J45" s="102" t="s">
        <v>15</v>
      </c>
      <c r="K45" s="103">
        <f>'Sales Master'!$B$1</f>
        <v>0.09</v>
      </c>
      <c r="L45" s="42">
        <f>L44*K45</f>
        <v>65.709000000000003</v>
      </c>
    </row>
    <row r="46" spans="2:22" ht="20.149999999999999" customHeight="1" thickBot="1" x14ac:dyDescent="0.5">
      <c r="B46" s="10" t="s">
        <v>676</v>
      </c>
      <c r="C46" s="6"/>
      <c r="D46" s="6"/>
      <c r="E46" s="6"/>
      <c r="F46" s="6"/>
      <c r="G46" s="6"/>
      <c r="H46" s="6"/>
      <c r="I46" s="6"/>
      <c r="J46" s="485" t="s">
        <v>21</v>
      </c>
      <c r="K46" s="486"/>
      <c r="L46" s="43">
        <f>L44+L45</f>
        <v>795.80899999999997</v>
      </c>
    </row>
    <row r="47" spans="2:22" ht="20.149999999999999" customHeight="1" x14ac:dyDescent="0.45">
      <c r="B47" s="10" t="s">
        <v>24</v>
      </c>
      <c r="C47" s="6"/>
      <c r="D47" s="6"/>
      <c r="E47" s="6"/>
      <c r="F47" s="6"/>
      <c r="G47" s="6"/>
      <c r="H47" s="6"/>
      <c r="I47" s="6"/>
      <c r="L47" s="37"/>
    </row>
    <row r="48" spans="2:22" ht="20.149999999999999" customHeight="1" x14ac:dyDescent="0.45">
      <c r="B48" s="144" t="s">
        <v>666</v>
      </c>
      <c r="L48" s="37"/>
    </row>
    <row r="49" spans="2:12" ht="20.149999999999999" customHeight="1" x14ac:dyDescent="0.45">
      <c r="B49" s="36"/>
      <c r="L49" s="37"/>
    </row>
    <row r="50" spans="2:12" ht="20.149999999999999" customHeight="1" x14ac:dyDescent="0.45">
      <c r="B50" s="36"/>
      <c r="L50" s="37"/>
    </row>
    <row r="51" spans="2:12" ht="20.149999999999999" customHeight="1" x14ac:dyDescent="0.45">
      <c r="B51" s="36"/>
      <c r="L51" s="37"/>
    </row>
    <row r="52" spans="2:12" ht="20.149999999999999" customHeight="1" x14ac:dyDescent="0.45">
      <c r="B52" s="44"/>
      <c r="C52" s="45"/>
      <c r="D52" s="45"/>
      <c r="J52" s="45"/>
      <c r="K52" s="45"/>
      <c r="L52" s="46"/>
    </row>
    <row r="53" spans="2:12" ht="20.149999999999999" customHeight="1" x14ac:dyDescent="0.45">
      <c r="B53" s="36" t="s">
        <v>25</v>
      </c>
      <c r="J53" s="19" t="s">
        <v>26</v>
      </c>
      <c r="L53" s="37"/>
    </row>
    <row r="54" spans="2:12" ht="19" thickBot="1" x14ac:dyDescent="0.5">
      <c r="B54" s="47"/>
      <c r="C54" s="48"/>
      <c r="D54" s="48"/>
      <c r="E54" s="48"/>
      <c r="F54" s="48"/>
      <c r="G54" s="48"/>
      <c r="H54" s="48"/>
      <c r="I54" s="48"/>
      <c r="J54" s="48"/>
      <c r="K54" s="48"/>
      <c r="L54" s="49"/>
    </row>
  </sheetData>
  <mergeCells count="61">
    <mergeCell ref="D33:F33"/>
    <mergeCell ref="D32:F32"/>
    <mergeCell ref="I30:J30"/>
    <mergeCell ref="I28:J28"/>
    <mergeCell ref="I33:J33"/>
    <mergeCell ref="I32:J3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K9:L9"/>
    <mergeCell ref="B15:D15"/>
    <mergeCell ref="D31:F31"/>
    <mergeCell ref="D24:F24"/>
    <mergeCell ref="I24:J24"/>
    <mergeCell ref="D21:F21"/>
    <mergeCell ref="D20:F20"/>
    <mergeCell ref="I20:J20"/>
    <mergeCell ref="I22:J22"/>
    <mergeCell ref="I23:J23"/>
    <mergeCell ref="I31:J31"/>
    <mergeCell ref="D30:F30"/>
    <mergeCell ref="D28:F28"/>
    <mergeCell ref="I21:J21"/>
    <mergeCell ref="I25:J25"/>
    <mergeCell ref="D17:F17"/>
    <mergeCell ref="I26:J26"/>
    <mergeCell ref="I29:J29"/>
    <mergeCell ref="D19:F19"/>
    <mergeCell ref="I27:J27"/>
    <mergeCell ref="I19:J19"/>
    <mergeCell ref="D27:F27"/>
    <mergeCell ref="D25:F25"/>
    <mergeCell ref="D26:F26"/>
    <mergeCell ref="D29:F29"/>
    <mergeCell ref="D23:F23"/>
    <mergeCell ref="D22:F22"/>
    <mergeCell ref="I17:J17"/>
    <mergeCell ref="D18:F18"/>
    <mergeCell ref="I18:J18"/>
    <mergeCell ref="I34:J34"/>
    <mergeCell ref="J46:K46"/>
    <mergeCell ref="J44:K44"/>
    <mergeCell ref="J42:K42"/>
    <mergeCell ref="D40:F40"/>
    <mergeCell ref="D36:F36"/>
    <mergeCell ref="I36:J36"/>
    <mergeCell ref="D34:F34"/>
    <mergeCell ref="I38:J38"/>
    <mergeCell ref="D39:F39"/>
    <mergeCell ref="I39:J39"/>
    <mergeCell ref="I35:J35"/>
    <mergeCell ref="D35:F35"/>
  </mergeCells>
  <conditionalFormatting sqref="C38">
    <cfRule type="duplicateValues" dxfId="192" priority="1"/>
  </conditionalFormatting>
  <pageMargins left="0.51181102362204722" right="0.39370078740157483" top="0" bottom="0" header="0.31496062992125984" footer="0.31496062992125984"/>
  <pageSetup paperSize="9" scale="75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8B7A7-19A4-4647-BD77-80CB98B0DB4E}">
  <sheetPr codeName="Sheet92">
    <tabColor rgb="FFFFC000"/>
    <pageSetUpPr fitToPage="1"/>
  </sheetPr>
  <dimension ref="B1:P46"/>
  <sheetViews>
    <sheetView topLeftCell="B17" workbookViewId="0">
      <selection activeCell="C25" sqref="C25:K26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5.54296875" style="19" customWidth="1"/>
    <col min="7" max="7" width="8.54296875" style="19" customWidth="1"/>
    <col min="8" max="8" width="16.269531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204</v>
      </c>
      <c r="J10" s="24" t="s">
        <v>27</v>
      </c>
      <c r="K10" s="464">
        <v>202501024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WaterWay Point                                            83 Punggol Central #02-20/21 Singapore 828761                               (Dessert)</v>
      </c>
      <c r="G11" s="470"/>
      <c r="H11" s="471"/>
      <c r="J11" s="26" t="s">
        <v>9</v>
      </c>
      <c r="K11" s="478">
        <v>45659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500" t="s">
        <v>34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197" t="s">
        <v>29</v>
      </c>
      <c r="I17" s="460" t="s">
        <v>53</v>
      </c>
      <c r="J17" s="462"/>
      <c r="K17" s="9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777</v>
      </c>
      <c r="D18" s="498" t="str">
        <f>VLOOKUP(C18,'Sales Master'!B$3:D$537,2,)</f>
        <v>Sweet Potato Powder 番薯粉</v>
      </c>
      <c r="E18" s="498"/>
      <c r="F18" s="498"/>
      <c r="G18" s="17">
        <v>2</v>
      </c>
      <c r="H18" s="188" t="str">
        <f>VLOOKUP(C18,'Sales Master'!$B$3:$F$2420,5,0)</f>
        <v>(500gm x 20Pkt)包</v>
      </c>
      <c r="I18" s="484" t="str">
        <f>VLOOKUP(C18,'Sales Master'!$B$3:$E$2420,4,0)</f>
        <v>RE-PACK</v>
      </c>
      <c r="J18" s="484"/>
      <c r="K18" s="30">
        <f>VLOOKUP(C18,'Sales Master'!B$3:AO$537,40,0)</f>
        <v>32</v>
      </c>
      <c r="L18" s="64">
        <f t="shared" ref="L18" si="0">K18*G18</f>
        <v>64</v>
      </c>
      <c r="M18" s="65"/>
      <c r="N18" s="145">
        <f>VLOOKUP(C18,'Sales Master'!$B$3:$DA$2279,104,0)</f>
        <v>24.8</v>
      </c>
      <c r="O18" s="145">
        <f t="shared" ref="O18" si="1">K18-N18</f>
        <v>7.1999999999999993</v>
      </c>
      <c r="P18" s="145">
        <f t="shared" ref="P18" si="2">O18*G18</f>
        <v>14.399999999999999</v>
      </c>
    </row>
    <row r="19" spans="2:16" ht="20.149999999999999" customHeight="1" x14ac:dyDescent="0.45">
      <c r="B19" s="29"/>
      <c r="C19" s="212" t="s">
        <v>717</v>
      </c>
      <c r="D19" s="524" t="str">
        <f>VLOOKUP(C19,'Sales Master'!B$3:D$537,2,)</f>
        <v>Pong Thai Hai (Wet) 碰大海(湿)</v>
      </c>
      <c r="E19" s="524"/>
      <c r="F19" s="524"/>
      <c r="G19" s="17">
        <v>4</v>
      </c>
      <c r="H19" s="186" t="str">
        <f>VLOOKUP(C19,'Sales Master'!$B$3:$F$2420,5,0)</f>
        <v>1 KG/ Pkt包</v>
      </c>
      <c r="I19" s="484" t="str">
        <f>VLOOKUP(C19,'Sales Master'!$B$3:$E$2420,4,0)</f>
        <v>DO!</v>
      </c>
      <c r="J19" s="484"/>
      <c r="K19" s="30">
        <f>VLOOKUP(C19,'Sales Master'!B$3:AO$537,40,0)</f>
        <v>10</v>
      </c>
      <c r="L19" s="64">
        <f>K19*G19</f>
        <v>40</v>
      </c>
      <c r="M19" s="65"/>
      <c r="N19" s="145">
        <f>VLOOKUP(C19,'Sales Master'!$B$3:$DA$2279,104,0)</f>
        <v>0.9</v>
      </c>
      <c r="O19" s="145">
        <f>K19-N19</f>
        <v>9.1</v>
      </c>
      <c r="P19" s="145">
        <f>O19*G19</f>
        <v>36.4</v>
      </c>
    </row>
    <row r="20" spans="2:16" ht="20.149999999999999" customHeight="1" x14ac:dyDescent="0.45">
      <c r="B20" s="29"/>
      <c r="C20" s="212" t="s">
        <v>966</v>
      </c>
      <c r="D20" s="487" t="str">
        <f>VLOOKUP(C20,'Sales Master'!B$3:D$537,2,)</f>
        <v>Coconut Milk 椰浆</v>
      </c>
      <c r="E20" s="487"/>
      <c r="F20" s="487"/>
      <c r="G20" s="17">
        <v>5</v>
      </c>
      <c r="H20" s="186" t="str">
        <f>VLOOKUP(C20,'Sales Master'!$B$3:$F$2420,5,0)</f>
        <v>(1L x 12bag)/箱</v>
      </c>
      <c r="I20" s="484" t="str">
        <f>VLOOKUP(C20,'Sales Master'!$B$3:$E$2420,4,0)</f>
        <v>Kara UHT</v>
      </c>
      <c r="J20" s="484"/>
      <c r="K20" s="30">
        <f>VLOOKUP(C20,'Sales Master'!B$3:AO$537,40,0)</f>
        <v>54</v>
      </c>
      <c r="L20" s="64">
        <f t="shared" ref="L20" si="3">K20*G20</f>
        <v>270</v>
      </c>
      <c r="M20" s="65"/>
      <c r="N20" s="145">
        <f>VLOOKUP(C20,'Sales Master'!$B$3:$DA$2279,104,0)</f>
        <v>35.799999999999997</v>
      </c>
      <c r="O20" s="145">
        <f t="shared" ref="O20" si="4">K20-N20</f>
        <v>18.200000000000003</v>
      </c>
      <c r="P20" s="145">
        <f t="shared" ref="P20" si="5">O20*G20</f>
        <v>91.000000000000014</v>
      </c>
    </row>
    <row r="21" spans="2:16" ht="20.149999999999999" customHeight="1" x14ac:dyDescent="0.45">
      <c r="B21" s="29"/>
      <c r="C21" s="212"/>
      <c r="D21" s="487"/>
      <c r="E21" s="487"/>
      <c r="F21" s="487"/>
      <c r="G21" s="17"/>
      <c r="H21" s="186"/>
      <c r="I21" s="484"/>
      <c r="J21" s="484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87"/>
      <c r="E22" s="487"/>
      <c r="F22" s="487"/>
      <c r="G22" s="17"/>
      <c r="H22" s="186"/>
      <c r="I22" s="484"/>
      <c r="J22" s="484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D23" s="487"/>
      <c r="E23" s="487"/>
      <c r="F23" s="487"/>
      <c r="G23" s="17"/>
      <c r="H23" s="186"/>
      <c r="I23" s="484"/>
      <c r="J23" s="484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D24" s="487"/>
      <c r="E24" s="487"/>
      <c r="F24" s="487"/>
      <c r="G24" s="17"/>
      <c r="H24" s="186"/>
      <c r="I24" s="484"/>
      <c r="J24" s="484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49" t="s">
        <v>2271</v>
      </c>
      <c r="D25" s="403"/>
      <c r="E25" s="403"/>
      <c r="F25" s="403"/>
      <c r="G25" s="76"/>
      <c r="H25" s="186"/>
      <c r="I25" s="484"/>
      <c r="J25" s="484"/>
      <c r="K25" s="19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2" t="s">
        <v>966</v>
      </c>
      <c r="D26" s="493" t="e">
        <f>VLOOKUP(C26,#REF!,2,0)</f>
        <v>#REF!</v>
      </c>
      <c r="E26" s="493"/>
      <c r="F26" s="493"/>
      <c r="G26" s="17">
        <v>1</v>
      </c>
      <c r="H26" s="186" t="e">
        <f>VLOOKUP(C26,#REF!,5,0)</f>
        <v>#REF!</v>
      </c>
      <c r="I26" s="484" t="e">
        <f>VLOOKUP(C26,#REF!,4,0)</f>
        <v>#REF!</v>
      </c>
      <c r="J26" s="484"/>
      <c r="K26" s="190">
        <v>48</v>
      </c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2"/>
      <c r="D27" s="487"/>
      <c r="E27" s="487"/>
      <c r="F27" s="487"/>
      <c r="G27" s="17"/>
      <c r="H27" s="186"/>
      <c r="I27" s="484"/>
      <c r="J27" s="484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212"/>
      <c r="D28" s="487"/>
      <c r="E28" s="487"/>
      <c r="F28" s="487"/>
      <c r="G28" s="17"/>
      <c r="H28" s="188"/>
      <c r="I28" s="484"/>
      <c r="J28" s="484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212"/>
      <c r="G29" s="17"/>
      <c r="H29" s="186"/>
      <c r="I29" s="208"/>
      <c r="J29" s="208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212"/>
      <c r="G30" s="17"/>
      <c r="H30" s="186"/>
      <c r="I30" s="208"/>
      <c r="J30" s="208"/>
      <c r="K30" s="30"/>
      <c r="L30" s="64"/>
      <c r="M30" s="65"/>
      <c r="N30" s="145"/>
      <c r="O30" s="145"/>
      <c r="P30" s="145"/>
    </row>
    <row r="31" spans="2:16" ht="20.149999999999999" customHeight="1" thickBot="1" x14ac:dyDescent="0.5">
      <c r="B31" s="32"/>
      <c r="C31" s="33"/>
      <c r="D31" s="488"/>
      <c r="E31" s="488"/>
      <c r="F31" s="488"/>
      <c r="G31" s="33"/>
      <c r="H31" s="57"/>
      <c r="I31" s="459"/>
      <c r="J31" s="459"/>
      <c r="K31" s="34"/>
      <c r="L31" s="35"/>
    </row>
    <row r="32" spans="2:16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D33" s="6"/>
      <c r="E33" s="6"/>
      <c r="F33" s="6"/>
      <c r="G33" s="6"/>
      <c r="H33" s="6"/>
      <c r="I33" s="6"/>
      <c r="J33" s="489" t="s">
        <v>13</v>
      </c>
      <c r="K33" s="490"/>
      <c r="L33" s="38">
        <f>SUM(L17:L32)</f>
        <v>374</v>
      </c>
      <c r="M33" s="63">
        <f>SUM(P18:P28)-L33*0.02</f>
        <v>134.32000000000002</v>
      </c>
      <c r="N33" s="133">
        <f>M33/L33</f>
        <v>0.35914438502673801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91" t="s">
        <v>19</v>
      </c>
      <c r="K35" s="492"/>
      <c r="L35" s="41">
        <f>L33-L34</f>
        <v>374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33.659999999999997</v>
      </c>
    </row>
    <row r="37" spans="2:14" ht="20.149999999999999" customHeight="1" thickBot="1" x14ac:dyDescent="0.5">
      <c r="B37" s="10" t="s">
        <v>676</v>
      </c>
      <c r="C37" s="6"/>
      <c r="D37" s="6"/>
      <c r="E37" s="6"/>
      <c r="F37" s="6"/>
      <c r="G37" s="6"/>
      <c r="H37" s="6"/>
      <c r="I37" s="6"/>
      <c r="J37" s="485" t="s">
        <v>21</v>
      </c>
      <c r="K37" s="486"/>
      <c r="L37" s="43">
        <f>L35+L36</f>
        <v>407.65999999999997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144" t="s">
        <v>666</v>
      </c>
      <c r="C39" s="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C44" s="45"/>
      <c r="J44" s="19" t="s">
        <v>26</v>
      </c>
      <c r="L44" s="37"/>
    </row>
    <row r="45" spans="2:14" ht="19" thickBot="1" x14ac:dyDescent="0.5">
      <c r="B45" s="47"/>
      <c r="C45" s="128"/>
      <c r="D45" s="48"/>
      <c r="E45" s="48"/>
      <c r="F45" s="48"/>
      <c r="G45" s="48"/>
      <c r="H45" s="48"/>
      <c r="I45" s="48"/>
      <c r="J45" s="48"/>
      <c r="K45" s="48"/>
      <c r="L45" s="49"/>
    </row>
    <row r="46" spans="2:14" ht="19" thickBot="1" x14ac:dyDescent="0.5">
      <c r="C46" s="48"/>
    </row>
  </sheetData>
  <mergeCells count="41">
    <mergeCell ref="B1:L8"/>
    <mergeCell ref="D17:F17"/>
    <mergeCell ref="I17:J17"/>
    <mergeCell ref="K10:L10"/>
    <mergeCell ref="B11:D11"/>
    <mergeCell ref="F11:H15"/>
    <mergeCell ref="K11:L11"/>
    <mergeCell ref="B12:D12"/>
    <mergeCell ref="K15:L15"/>
    <mergeCell ref="K12:L12"/>
    <mergeCell ref="B13:D13"/>
    <mergeCell ref="K13:L13"/>
    <mergeCell ref="K14:L14"/>
    <mergeCell ref="I28:J28"/>
    <mergeCell ref="I22:J22"/>
    <mergeCell ref="I20:J20"/>
    <mergeCell ref="B14:D14"/>
    <mergeCell ref="D21:F21"/>
    <mergeCell ref="I27:J27"/>
    <mergeCell ref="B15:D15"/>
    <mergeCell ref="D24:F24"/>
    <mergeCell ref="D23:F23"/>
    <mergeCell ref="D20:F20"/>
    <mergeCell ref="I23:J23"/>
    <mergeCell ref="D22:F22"/>
    <mergeCell ref="J37:K37"/>
    <mergeCell ref="I18:J18"/>
    <mergeCell ref="D19:F19"/>
    <mergeCell ref="I19:J19"/>
    <mergeCell ref="I25:J25"/>
    <mergeCell ref="D31:F31"/>
    <mergeCell ref="J33:K33"/>
    <mergeCell ref="J35:K35"/>
    <mergeCell ref="I31:J31"/>
    <mergeCell ref="I24:J24"/>
    <mergeCell ref="D27:F27"/>
    <mergeCell ref="I21:J21"/>
    <mergeCell ref="D26:F26"/>
    <mergeCell ref="I26:J26"/>
    <mergeCell ref="D18:F18"/>
    <mergeCell ref="D28:F28"/>
  </mergeCells>
  <conditionalFormatting sqref="C25">
    <cfRule type="duplicateValues" dxfId="191" priority="1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F51B8-833C-497B-A682-D4BB85527404}">
  <sheetPr codeName="Sheet27">
    <tabColor rgb="FF7030A0"/>
    <pageSetUpPr fitToPage="1"/>
  </sheetPr>
  <dimension ref="B1:Y60"/>
  <sheetViews>
    <sheetView topLeftCell="A14" workbookViewId="0">
      <selection activeCell="D21" sqref="D21:F21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5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1" width="12.54296875" style="19" customWidth="1"/>
    <col min="12" max="12" width="15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275</v>
      </c>
      <c r="J10" s="24" t="s">
        <v>27</v>
      </c>
      <c r="K10" s="464">
        <v>202411638</v>
      </c>
      <c r="L10" s="465"/>
    </row>
    <row r="11" spans="2:12" ht="20.149999999999999" customHeight="1" x14ac:dyDescent="0.45">
      <c r="B11" s="466" t="s">
        <v>461</v>
      </c>
      <c r="C11" s="467"/>
      <c r="D11" s="468"/>
      <c r="E11" s="25"/>
      <c r="F11" s="469" t="str">
        <f>VLOOKUP(H10,'Delivery Location'!A$4:N$466,2,0)</f>
        <v xml:space="preserve">ECREATIVE CATERING PTE LTD             Blk 15, Woodlands Loop                      #04-33   Singapore 738322                                    </v>
      </c>
      <c r="G11" s="470"/>
      <c r="H11" s="471"/>
      <c r="J11" s="26" t="s">
        <v>9</v>
      </c>
      <c r="K11" s="478">
        <v>45626</v>
      </c>
      <c r="L11" s="479"/>
    </row>
    <row r="12" spans="2:12" ht="20.149999999999999" customHeight="1" x14ac:dyDescent="0.45">
      <c r="B12" s="480" t="s">
        <v>462</v>
      </c>
      <c r="C12" s="453"/>
      <c r="D12" s="481"/>
      <c r="E12" s="25"/>
      <c r="F12" s="472"/>
      <c r="G12" s="473"/>
      <c r="H12" s="474"/>
      <c r="J12" s="26" t="s">
        <v>127</v>
      </c>
      <c r="K12" s="506" t="s">
        <v>34</v>
      </c>
      <c r="L12" s="507"/>
    </row>
    <row r="13" spans="2:12" ht="20.149999999999999" customHeight="1" x14ac:dyDescent="0.45">
      <c r="B13" s="480" t="s">
        <v>463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0"/>
      <c r="C15" s="51"/>
      <c r="D15" s="52"/>
      <c r="E15" s="21"/>
      <c r="F15" s="475"/>
      <c r="G15" s="476"/>
      <c r="H15" s="477"/>
      <c r="J15" s="27" t="s">
        <v>11</v>
      </c>
      <c r="K15" s="495" t="s">
        <v>456</v>
      </c>
      <c r="L15" s="496"/>
    </row>
    <row r="16" spans="2:12" ht="19" thickBot="1" x14ac:dyDescent="0.5">
      <c r="J16" s="17"/>
    </row>
    <row r="17" spans="2:25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7" t="s">
        <v>53</v>
      </c>
      <c r="I17" s="460" t="s">
        <v>385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5" ht="20.149999999999999" customHeight="1" x14ac:dyDescent="0.45">
      <c r="B18" s="29"/>
      <c r="C18" s="212" t="s">
        <v>713</v>
      </c>
      <c r="D18" s="487" t="str">
        <f>VLOOKUP(C18,'Sales Master'!B$3:D$537,2,)</f>
        <v>Chendol 浆咯</v>
      </c>
      <c r="E18" s="487"/>
      <c r="F18" s="487"/>
      <c r="G18" s="17">
        <v>7</v>
      </c>
      <c r="H18" s="208" t="str">
        <f>VLOOKUP(C18,'Sales Master'!$B$3:$E$537,4,0)</f>
        <v>DO!</v>
      </c>
      <c r="I18" s="519" t="str">
        <f>VLOOKUP(C18,'Sales Master'!$B$3:F$537,5,0)</f>
        <v>NW(2.2:0.8) 3kg/ Pkt包</v>
      </c>
      <c r="J18" s="519"/>
      <c r="K18" s="30">
        <f>VLOOKUP(C18,'Sales Master'!B$3:AM$537,38,0)</f>
        <v>7</v>
      </c>
      <c r="L18" s="64">
        <f t="shared" ref="L18:L30" si="0">K18*G18</f>
        <v>49</v>
      </c>
      <c r="M18" s="65"/>
      <c r="N18" s="145">
        <f>VLOOKUP(C18,'Sales Master'!$B$3:$DA$2279,104,0)</f>
        <v>2.44</v>
      </c>
      <c r="O18" s="145">
        <f t="shared" ref="O18:O30" si="1">K18-N18</f>
        <v>4.5600000000000005</v>
      </c>
      <c r="P18" s="145">
        <f t="shared" ref="P18:P30" si="2">O18*G18</f>
        <v>31.92</v>
      </c>
      <c r="R18" s="19">
        <v>2</v>
      </c>
      <c r="S18" s="19" t="s">
        <v>54</v>
      </c>
      <c r="T18" s="19" t="s">
        <v>32</v>
      </c>
      <c r="V18" s="19">
        <v>5</v>
      </c>
      <c r="Y18" s="19">
        <v>50</v>
      </c>
    </row>
    <row r="19" spans="2:25" ht="20.149999999999999" customHeight="1" x14ac:dyDescent="0.45">
      <c r="B19" s="29"/>
      <c r="C19" s="212" t="s">
        <v>717</v>
      </c>
      <c r="D19" s="524" t="str">
        <f>VLOOKUP(C19,'Sales Master'!B$3:D$537,2,)</f>
        <v>Pong Thai Hai (Wet) 碰大海(湿)</v>
      </c>
      <c r="E19" s="524"/>
      <c r="F19" s="524"/>
      <c r="G19" s="17">
        <v>5</v>
      </c>
      <c r="H19" s="208" t="str">
        <f>VLOOKUP(C19,'Sales Master'!$B$3:$E$537,4,0)</f>
        <v>DO!</v>
      </c>
      <c r="I19" s="519" t="str">
        <f>VLOOKUP(C19,'Sales Master'!$B$3:F$537,5,0)</f>
        <v>1 KG/ Pkt包</v>
      </c>
      <c r="J19" s="519"/>
      <c r="K19" s="30">
        <f>VLOOKUP(C19,'Sales Master'!B$3:AM$537,38,0)</f>
        <v>10</v>
      </c>
      <c r="L19" s="64">
        <f t="shared" ref="L19:L28" si="3">K19*G19</f>
        <v>50</v>
      </c>
      <c r="M19" s="65"/>
      <c r="N19" s="145">
        <f>VLOOKUP(C19,'Sales Master'!$B$3:$DA$2279,104,0)</f>
        <v>0.9</v>
      </c>
      <c r="O19" s="145">
        <f t="shared" ref="O19:O28" si="4">K19-N19</f>
        <v>9.1</v>
      </c>
      <c r="P19" s="145">
        <f t="shared" ref="P19:P28" si="5">O19*G19</f>
        <v>45.5</v>
      </c>
      <c r="R19" s="19">
        <v>1</v>
      </c>
      <c r="S19" s="19" t="s">
        <v>34</v>
      </c>
      <c r="T19" s="19" t="s">
        <v>32</v>
      </c>
      <c r="V19" s="19">
        <v>2.5</v>
      </c>
      <c r="Y19" s="19">
        <v>50</v>
      </c>
    </row>
    <row r="20" spans="2:25" ht="20.149999999999999" customHeight="1" x14ac:dyDescent="0.45">
      <c r="B20" s="29"/>
      <c r="C20" s="212" t="s">
        <v>733</v>
      </c>
      <c r="D20" s="487" t="str">
        <f>VLOOKUP(C20,'Sales Master'!B$3:D$537,2,)</f>
        <v>Tadpole JELLY  蝌蚪</v>
      </c>
      <c r="E20" s="487"/>
      <c r="F20" s="487"/>
      <c r="G20" s="17">
        <v>8</v>
      </c>
      <c r="H20" s="210" t="str">
        <f>VLOOKUP(C20,'Sales Master'!$B$3:$E$537,4,0)</f>
        <v>FJ</v>
      </c>
      <c r="I20" s="519" t="str">
        <f>VLOOKUP(C20,'Sales Master'!$B$3:F$537,5,0)</f>
        <v>1 KG/ Bag包</v>
      </c>
      <c r="J20" s="519"/>
      <c r="K20" s="30">
        <f>VLOOKUP(C20,'Sales Master'!B$3:AM$537,38,0)</f>
        <v>6.5</v>
      </c>
      <c r="L20" s="64">
        <f t="shared" si="3"/>
        <v>52</v>
      </c>
      <c r="M20" s="65"/>
      <c r="N20" s="145">
        <f>VLOOKUP(C20,'Sales Master'!$B$3:$DA$2279,104,0)</f>
        <v>5.5</v>
      </c>
      <c r="O20" s="145">
        <f t="shared" si="4"/>
        <v>1</v>
      </c>
      <c r="P20" s="145">
        <f t="shared" si="5"/>
        <v>8</v>
      </c>
    </row>
    <row r="21" spans="2:25" ht="20.149999999999999" customHeight="1" x14ac:dyDescent="0.45">
      <c r="B21" s="29"/>
      <c r="C21" s="212" t="s">
        <v>812</v>
      </c>
      <c r="D21" s="487" t="str">
        <f>VLOOKUP(C21,'Sales Master'!B$3:D$537,2,)</f>
        <v>Red Bean 红豆 (5.5 mm)</v>
      </c>
      <c r="E21" s="487"/>
      <c r="F21" s="487"/>
      <c r="G21" s="17">
        <v>2</v>
      </c>
      <c r="H21" s="208" t="str">
        <f>VLOOKUP(C21,'Sales Master'!$B$3:$E$537,4,0)</f>
        <v>-</v>
      </c>
      <c r="I21" s="519" t="str">
        <f>VLOOKUP(C21,'Sales Master'!$B$3:F$537,5,0)</f>
        <v>5 KG</v>
      </c>
      <c r="J21" s="519"/>
      <c r="K21" s="30">
        <f>VLOOKUP(C21,'Sales Master'!B$3:AM$537,38,0)</f>
        <v>19</v>
      </c>
      <c r="L21" s="64">
        <f t="shared" si="3"/>
        <v>38</v>
      </c>
      <c r="M21" s="65"/>
      <c r="N21" s="145">
        <f>VLOOKUP(C21,'Sales Master'!$B$3:$DA$2279,104,0)</f>
        <v>12.5</v>
      </c>
      <c r="O21" s="145">
        <f t="shared" si="4"/>
        <v>6.5</v>
      </c>
      <c r="P21" s="145">
        <f t="shared" si="5"/>
        <v>13</v>
      </c>
    </row>
    <row r="22" spans="2:25" ht="20.149999999999999" customHeight="1" x14ac:dyDescent="0.45">
      <c r="B22" s="29"/>
      <c r="C22" s="212" t="s">
        <v>849</v>
      </c>
      <c r="D22" s="487" t="str">
        <f>VLOOKUP(C22,'Sales Master'!B$3:D$537,2,)</f>
        <v>Big Sago 大丸</v>
      </c>
      <c r="E22" s="487"/>
      <c r="F22" s="487"/>
      <c r="G22" s="17">
        <v>2</v>
      </c>
      <c r="H22" s="208" t="str">
        <f>VLOOKUP(C22,'Sales Master'!$B$3:$E$537,4,0)</f>
        <v>-</v>
      </c>
      <c r="I22" s="519" t="str">
        <f>VLOOKUP(C22,'Sales Master'!$B$3:F$537,5,0)</f>
        <v>5 KG</v>
      </c>
      <c r="J22" s="519"/>
      <c r="K22" s="30">
        <f>VLOOKUP(C22,'Sales Master'!B$3:AM$537,38,0)</f>
        <v>11</v>
      </c>
      <c r="L22" s="64">
        <f t="shared" si="3"/>
        <v>22</v>
      </c>
      <c r="M22" s="65"/>
      <c r="N22" s="145">
        <f>VLOOKUP(C22,'Sales Master'!$B$3:$DA$2279,104,0)</f>
        <v>8.5</v>
      </c>
      <c r="O22" s="145">
        <f t="shared" si="4"/>
        <v>2.5</v>
      </c>
      <c r="P22" s="145">
        <f t="shared" si="5"/>
        <v>5</v>
      </c>
    </row>
    <row r="23" spans="2:25" ht="20.149999999999999" customHeight="1" x14ac:dyDescent="0.45">
      <c r="B23" s="29"/>
      <c r="C23" s="212" t="s">
        <v>853</v>
      </c>
      <c r="D23" s="487" t="str">
        <f>VLOOKUP(C23,'Sales Master'!B$3:D$537,2,)</f>
        <v>Small Sago 小丸</v>
      </c>
      <c r="E23" s="487"/>
      <c r="F23" s="487"/>
      <c r="G23" s="17">
        <v>3</v>
      </c>
      <c r="H23" s="210" t="str">
        <f>VLOOKUP(C23,'Sales Master'!$B$3:$E$537,4,0)</f>
        <v>-</v>
      </c>
      <c r="I23" s="519" t="str">
        <f>VLOOKUP(C23,'Sales Master'!$B$3:F$537,5,0)</f>
        <v>5 KG</v>
      </c>
      <c r="J23" s="519"/>
      <c r="K23" s="30">
        <f>VLOOKUP(C23,'Sales Master'!B$3:AM$537,38,0)</f>
        <v>11</v>
      </c>
      <c r="L23" s="64">
        <f t="shared" si="3"/>
        <v>33</v>
      </c>
      <c r="M23" s="65"/>
      <c r="N23" s="145">
        <f>VLOOKUP(C23,'Sales Master'!$B$3:$DA$2279,104,0)</f>
        <v>0.70833333333333326</v>
      </c>
      <c r="O23" s="145">
        <f t="shared" si="4"/>
        <v>10.291666666666666</v>
      </c>
      <c r="P23" s="145">
        <f t="shared" si="5"/>
        <v>30.875</v>
      </c>
    </row>
    <row r="24" spans="2:25" ht="20.149999999999999" customHeight="1" x14ac:dyDescent="0.45">
      <c r="B24" s="29"/>
      <c r="C24" s="212" t="s">
        <v>856</v>
      </c>
      <c r="D24" s="487" t="str">
        <f>VLOOKUP(C24,'Sales Master'!B$3:D$537,2,)</f>
        <v>Dried Longan 龙眼干</v>
      </c>
      <c r="E24" s="487"/>
      <c r="F24" s="487"/>
      <c r="G24" s="17">
        <v>23</v>
      </c>
      <c r="H24" s="208" t="str">
        <f>VLOOKUP(C24,'Sales Master'!$B$3:$E$537,4,0)</f>
        <v>TL</v>
      </c>
      <c r="I24" s="519" t="str">
        <f>VLOOKUP(C24,'Sales Master'!$B$3:F$537,5,0)</f>
        <v>1 kg/ Pkt包</v>
      </c>
      <c r="J24" s="519"/>
      <c r="K24" s="30">
        <f>VLOOKUP(C24,'Sales Master'!B$3:AM$537,38,0)</f>
        <v>13</v>
      </c>
      <c r="L24" s="64">
        <f t="shared" si="3"/>
        <v>299</v>
      </c>
      <c r="M24" s="65"/>
      <c r="N24" s="145">
        <f>VLOOKUP(C24,'Sales Master'!$B$3:$DA$2279,104,0)</f>
        <v>8.8000000000000007</v>
      </c>
      <c r="O24" s="145">
        <f t="shared" si="4"/>
        <v>4.1999999999999993</v>
      </c>
      <c r="P24" s="145">
        <f t="shared" si="5"/>
        <v>96.59999999999998</v>
      </c>
    </row>
    <row r="25" spans="2:25" ht="20.149999999999999" customHeight="1" x14ac:dyDescent="0.45">
      <c r="B25" s="29"/>
      <c r="C25" s="212" t="s">
        <v>946</v>
      </c>
      <c r="D25" s="487" t="str">
        <f>VLOOKUP(C25,'Sales Master'!B$3:D$537,2,)</f>
        <v>Carnation Milk 三花淡奶水</v>
      </c>
      <c r="E25" s="487"/>
      <c r="F25" s="487"/>
      <c r="G25" s="17">
        <v>3</v>
      </c>
      <c r="H25" s="210" t="str">
        <f>VLOOKUP(C25,'Sales Master'!$B$3:$E$537,4,0)</f>
        <v>Threeflower</v>
      </c>
      <c r="I25" s="519" t="str">
        <f>VLOOKUP(C25,'Sales Master'!$B$3:F$537,5,0)</f>
        <v>405 GM x 48/ Ctn箱</v>
      </c>
      <c r="J25" s="519"/>
      <c r="K25" s="30">
        <f>VLOOKUP(C25,'Sales Master'!B$3:AM$537,38,0)</f>
        <v>58</v>
      </c>
      <c r="L25" s="64">
        <f t="shared" si="3"/>
        <v>174</v>
      </c>
      <c r="M25" s="65"/>
      <c r="N25" s="145">
        <f>VLOOKUP(C25,'Sales Master'!$B$3:$DA$2279,104,0)</f>
        <v>52</v>
      </c>
      <c r="O25" s="145">
        <f t="shared" si="4"/>
        <v>6</v>
      </c>
      <c r="P25" s="145">
        <f t="shared" si="5"/>
        <v>18</v>
      </c>
    </row>
    <row r="26" spans="2:25" ht="20.149999999999999" customHeight="1" x14ac:dyDescent="0.45">
      <c r="B26" s="29"/>
      <c r="C26" s="212" t="s">
        <v>969</v>
      </c>
      <c r="D26" s="487" t="str">
        <f>VLOOKUP(C26,'Sales Master'!B$3:D$537,2,)</f>
        <v>Coconut Milk 椰浆</v>
      </c>
      <c r="E26" s="487"/>
      <c r="F26" s="487"/>
      <c r="G26" s="17">
        <v>37</v>
      </c>
      <c r="H26" s="208" t="str">
        <f>VLOOKUP(C26,'Sales Master'!$B$3:$E$537,4,0)</f>
        <v>Sin-ind</v>
      </c>
      <c r="I26" s="519" t="str">
        <f>VLOOKUP(C26,'Sales Master'!$B$3:F$537,5,0)</f>
        <v>(1L x 12bag)/箱</v>
      </c>
      <c r="J26" s="519"/>
      <c r="K26" s="30">
        <f>VLOOKUP(C26,'Sales Master'!B$3:AM$537,38,0)</f>
        <v>39</v>
      </c>
      <c r="L26" s="64">
        <f t="shared" si="3"/>
        <v>1443</v>
      </c>
      <c r="M26" s="65"/>
      <c r="N26" s="145">
        <f>VLOOKUP(C26,'Sales Master'!$B$3:$DA$2279,104,0)</f>
        <v>30.530973451327434</v>
      </c>
      <c r="O26" s="145">
        <f t="shared" si="4"/>
        <v>8.4690265486725664</v>
      </c>
      <c r="P26" s="145">
        <f t="shared" si="5"/>
        <v>313.35398230088498</v>
      </c>
      <c r="R26" s="19">
        <v>4</v>
      </c>
      <c r="S26" s="19" t="s">
        <v>34</v>
      </c>
    </row>
    <row r="27" spans="2:25" ht="20.149999999999999" customHeight="1" x14ac:dyDescent="0.45">
      <c r="B27" s="29"/>
      <c r="C27" s="212" t="s">
        <v>1004</v>
      </c>
      <c r="D27" s="487" t="str">
        <f>VLOOKUP(C27,'Sales Master'!B$3:D$537,2,)</f>
        <v>Sweet Potato 番薯</v>
      </c>
      <c r="E27" s="487"/>
      <c r="F27" s="487"/>
      <c r="G27" s="17">
        <v>15.2</v>
      </c>
      <c r="H27" s="210" t="str">
        <f>VLOOKUP(C27,'Sales Master'!$B$3:$E$537,4,0)</f>
        <v>-</v>
      </c>
      <c r="I27" s="519" t="str">
        <f>VLOOKUP(C27,'Sales Master'!$B$3:F$537,5,0)</f>
        <v>1 KG</v>
      </c>
      <c r="J27" s="519"/>
      <c r="K27" s="30">
        <f>VLOOKUP(C27,'Sales Master'!B$3:AM$537,38,0)</f>
        <v>2.8</v>
      </c>
      <c r="L27" s="64">
        <f t="shared" si="3"/>
        <v>42.559999999999995</v>
      </c>
      <c r="M27" s="65"/>
      <c r="N27" s="145">
        <f>VLOOKUP(C27,'Sales Master'!$B$3:$DA$2279,104,0)</f>
        <v>1.675</v>
      </c>
      <c r="O27" s="145">
        <f t="shared" si="4"/>
        <v>1.1249999999999998</v>
      </c>
      <c r="P27" s="145">
        <f t="shared" si="5"/>
        <v>17.099999999999994</v>
      </c>
      <c r="R27" s="19">
        <v>4</v>
      </c>
      <c r="S27" s="19" t="s">
        <v>34</v>
      </c>
      <c r="T27" s="19" t="s">
        <v>32</v>
      </c>
      <c r="V27" s="19">
        <v>1.5</v>
      </c>
      <c r="Y27" s="19">
        <v>190</v>
      </c>
    </row>
    <row r="28" spans="2:25" ht="20.149999999999999" customHeight="1" x14ac:dyDescent="0.45">
      <c r="B28" s="29"/>
      <c r="C28" s="212" t="s">
        <v>1006</v>
      </c>
      <c r="D28" s="487" t="str">
        <f>VLOOKUP(C28,'Sales Master'!B$3:D$537,2,)</f>
        <v>Yam 芋头</v>
      </c>
      <c r="E28" s="487"/>
      <c r="F28" s="487"/>
      <c r="G28" s="17">
        <v>5.0999999999999996</v>
      </c>
      <c r="H28" s="208" t="str">
        <f>VLOOKUP(C28,'Sales Master'!$B$3:$E$537,4,0)</f>
        <v>Thailand</v>
      </c>
      <c r="I28" s="519" t="str">
        <f>VLOOKUP(C28,'Sales Master'!$B$3:F$537,5,0)</f>
        <v>1 KG</v>
      </c>
      <c r="J28" s="519"/>
      <c r="K28" s="30">
        <f>VLOOKUP(C28,'Sales Master'!B$3:AM$537,38,0)</f>
        <v>5.5</v>
      </c>
      <c r="L28" s="64">
        <f t="shared" si="3"/>
        <v>28.049999999999997</v>
      </c>
      <c r="M28" s="65"/>
      <c r="N28" s="145">
        <f>VLOOKUP(C28,'Sales Master'!$B$3:$DA$2279,104,0)</f>
        <v>2.6</v>
      </c>
      <c r="O28" s="145">
        <f t="shared" si="4"/>
        <v>2.9</v>
      </c>
      <c r="P28" s="145">
        <f t="shared" si="5"/>
        <v>14.79</v>
      </c>
      <c r="Y28" s="19">
        <v>152</v>
      </c>
    </row>
    <row r="29" spans="2:25" ht="20.149999999999999" customHeight="1" x14ac:dyDescent="0.45">
      <c r="B29" s="29"/>
      <c r="C29" s="212" t="s">
        <v>1009</v>
      </c>
      <c r="D29" s="487" t="str">
        <f>VLOOKUP(C29,'Sales Master'!B$3:D$537,2,)</f>
        <v>Pandan Leaf 班兰叶</v>
      </c>
      <c r="E29" s="487"/>
      <c r="F29" s="487"/>
      <c r="G29" s="17">
        <v>5</v>
      </c>
      <c r="H29" s="208" t="str">
        <f>VLOOKUP(C29,'Sales Master'!$B$3:$E$537,4,0)</f>
        <v>-</v>
      </c>
      <c r="I29" s="519" t="str">
        <f>VLOOKUP(C29,'Sales Master'!$B$3:F$537,5,0)</f>
        <v>1 KG</v>
      </c>
      <c r="J29" s="519"/>
      <c r="K29" s="30">
        <f>VLOOKUP(C29,'Sales Master'!B$3:AM$537,38,0)</f>
        <v>2</v>
      </c>
      <c r="L29" s="64">
        <f t="shared" ref="L29" si="6">K29*G29</f>
        <v>10</v>
      </c>
      <c r="M29" s="65"/>
      <c r="N29" s="145">
        <f>VLOOKUP(C29,'Sales Master'!$B$3:$DA$2279,104,0)</f>
        <v>1.1000000000000001</v>
      </c>
      <c r="O29" s="145">
        <f t="shared" ref="O29" si="7">K29-N29</f>
        <v>0.89999999999999991</v>
      </c>
      <c r="P29" s="145">
        <f t="shared" ref="P29" si="8">O29*G29</f>
        <v>4.5</v>
      </c>
      <c r="R29" s="19">
        <v>4</v>
      </c>
    </row>
    <row r="30" spans="2:25" ht="20.149999999999999" customHeight="1" x14ac:dyDescent="0.45">
      <c r="B30" s="29"/>
      <c r="C30" s="212" t="s">
        <v>1019</v>
      </c>
      <c r="D30" s="498" t="str">
        <f>VLOOKUP(C30,'Sales Master'!B$3:D$537,2,)</f>
        <v>Food Coloring - Liquid 颜色水</v>
      </c>
      <c r="E30" s="498"/>
      <c r="F30" s="498"/>
      <c r="G30" s="17">
        <v>2</v>
      </c>
      <c r="H30" s="208" t="str">
        <f>VLOOKUP(C30,'Sales Master'!$B$3:$E$537,4,0)</f>
        <v>Yellow/黄</v>
      </c>
      <c r="I30" s="519" t="str">
        <f>VLOOKUP(C30,'Sales Master'!$B$3:F$537,5,0)</f>
        <v>500 ML/ Btl支</v>
      </c>
      <c r="J30" s="519"/>
      <c r="K30" s="30">
        <f>VLOOKUP(C30,'Sales Master'!B$3:AM$537,38,0)</f>
        <v>2.8</v>
      </c>
      <c r="L30" s="64">
        <f t="shared" si="0"/>
        <v>5.6</v>
      </c>
      <c r="M30" s="65"/>
      <c r="N30" s="145">
        <f>VLOOKUP(C30,'Sales Master'!$B$3:$DA$2279,104,0)</f>
        <v>1.8399999999999999</v>
      </c>
      <c r="O30" s="145">
        <f t="shared" si="1"/>
        <v>0.96</v>
      </c>
      <c r="P30" s="145">
        <f t="shared" si="2"/>
        <v>1.92</v>
      </c>
    </row>
    <row r="31" spans="2:25" ht="20.149999999999999" customHeight="1" x14ac:dyDescent="0.45">
      <c r="B31" s="29"/>
      <c r="C31" s="212"/>
      <c r="D31" s="487"/>
      <c r="E31" s="487"/>
      <c r="F31" s="487"/>
      <c r="G31" s="17"/>
      <c r="H31" s="208"/>
      <c r="I31" s="519"/>
      <c r="J31" s="519"/>
      <c r="K31" s="30"/>
      <c r="L31" s="64"/>
      <c r="M31" s="65"/>
      <c r="N31" s="145"/>
      <c r="O31" s="145"/>
      <c r="P31" s="145"/>
    </row>
    <row r="32" spans="2:25" ht="20.149999999999999" customHeight="1" x14ac:dyDescent="0.45">
      <c r="B32" s="29"/>
      <c r="C32" s="212"/>
      <c r="D32" s="487"/>
      <c r="E32" s="487"/>
      <c r="F32" s="487"/>
      <c r="G32" s="17"/>
      <c r="H32" s="208"/>
      <c r="I32" s="519"/>
      <c r="J32" s="519"/>
      <c r="K32" s="30"/>
      <c r="L32" s="64"/>
      <c r="M32" s="65"/>
      <c r="N32" s="145"/>
      <c r="O32" s="145"/>
      <c r="P32" s="145"/>
    </row>
    <row r="33" spans="2:25" ht="20.149999999999999" customHeight="1" x14ac:dyDescent="0.45">
      <c r="B33" s="29"/>
      <c r="C33" s="212"/>
      <c r="D33" s="487"/>
      <c r="E33" s="487"/>
      <c r="F33" s="487"/>
      <c r="G33" s="17"/>
      <c r="H33" s="208"/>
      <c r="I33" s="519"/>
      <c r="J33" s="519"/>
      <c r="K33" s="30"/>
      <c r="L33" s="64"/>
      <c r="M33" s="65"/>
      <c r="N33" s="145"/>
      <c r="O33" s="145"/>
      <c r="P33" s="145"/>
      <c r="R33" s="19">
        <v>1</v>
      </c>
      <c r="S33" s="19" t="s">
        <v>34</v>
      </c>
      <c r="T33" s="19" t="s">
        <v>410</v>
      </c>
      <c r="V33" s="19">
        <v>30</v>
      </c>
      <c r="Y33" s="19">
        <v>15</v>
      </c>
    </row>
    <row r="34" spans="2:25" ht="20.149999999999999" customHeight="1" x14ac:dyDescent="0.45">
      <c r="B34" s="29"/>
      <c r="C34" s="212"/>
      <c r="D34" s="487"/>
      <c r="E34" s="487"/>
      <c r="F34" s="487"/>
      <c r="G34" s="17"/>
      <c r="H34" s="208"/>
      <c r="I34" s="519"/>
      <c r="J34" s="519"/>
      <c r="K34" s="30"/>
      <c r="L34" s="64"/>
      <c r="M34" s="65"/>
      <c r="N34" s="145"/>
      <c r="O34" s="145"/>
      <c r="P34" s="145"/>
    </row>
    <row r="35" spans="2:25" ht="20.149999999999999" customHeight="1" x14ac:dyDescent="0.45">
      <c r="B35" s="29"/>
      <c r="C35" s="153"/>
      <c r="E35" s="147"/>
      <c r="F35" s="147"/>
      <c r="G35" s="76"/>
      <c r="H35" s="56"/>
      <c r="I35" s="56"/>
      <c r="J35" s="56"/>
      <c r="K35" s="150"/>
      <c r="L35" s="64"/>
      <c r="M35" s="65"/>
      <c r="N35" s="145"/>
      <c r="O35" s="145"/>
      <c r="P35" s="145"/>
      <c r="Y35" s="19">
        <v>16</v>
      </c>
    </row>
    <row r="36" spans="2:25" ht="20.149999999999999" customHeight="1" x14ac:dyDescent="0.45">
      <c r="B36" s="29"/>
      <c r="C36" s="212"/>
      <c r="D36" s="487"/>
      <c r="E36" s="487"/>
      <c r="F36" s="487"/>
      <c r="G36" s="76"/>
      <c r="H36" s="210"/>
      <c r="I36" s="519"/>
      <c r="J36" s="519"/>
      <c r="K36" s="99"/>
      <c r="L36" s="64"/>
      <c r="M36" s="65"/>
      <c r="N36" s="145"/>
      <c r="O36" s="145"/>
      <c r="P36" s="145"/>
    </row>
    <row r="37" spans="2:25" ht="20.149999999999999" customHeight="1" thickBot="1" x14ac:dyDescent="0.5">
      <c r="B37" s="32"/>
      <c r="C37" s="33"/>
      <c r="D37" s="488"/>
      <c r="E37" s="488"/>
      <c r="F37" s="488"/>
      <c r="G37" s="33"/>
      <c r="H37" s="57"/>
      <c r="I37" s="459"/>
      <c r="J37" s="459"/>
      <c r="K37" s="34"/>
      <c r="L37" s="35"/>
      <c r="Y37" s="19">
        <v>28</v>
      </c>
    </row>
    <row r="38" spans="2:25" ht="20.149999999999999" customHeight="1" thickBot="1" x14ac:dyDescent="0.5">
      <c r="B38" s="36"/>
      <c r="L38" s="37"/>
      <c r="Y38" s="19">
        <v>20</v>
      </c>
    </row>
    <row r="39" spans="2:25" ht="20.149999999999999" customHeight="1" x14ac:dyDescent="0.45">
      <c r="B39" s="10" t="s">
        <v>16</v>
      </c>
      <c r="D39" s="6"/>
      <c r="E39" s="6"/>
      <c r="F39" s="6"/>
      <c r="G39" s="6"/>
      <c r="H39" s="6"/>
      <c r="I39" s="6"/>
      <c r="J39" s="489" t="s">
        <v>13</v>
      </c>
      <c r="K39" s="490"/>
      <c r="L39" s="38">
        <f>SUM(L17:L38)</f>
        <v>2246.21</v>
      </c>
      <c r="M39" s="63">
        <f>SUM(P18:P35)</f>
        <v>600.55898230088496</v>
      </c>
      <c r="N39" s="133">
        <f>M39/L39</f>
        <v>0.26736546551786561</v>
      </c>
      <c r="Y39" s="19">
        <v>190</v>
      </c>
    </row>
    <row r="40" spans="2:25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  <c r="Y40" s="19">
        <v>50</v>
      </c>
    </row>
    <row r="41" spans="2:25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91" t="s">
        <v>19</v>
      </c>
      <c r="K41" s="492"/>
      <c r="L41" s="41">
        <f>L39-L40</f>
        <v>2246.21</v>
      </c>
      <c r="Y41" s="19">
        <v>16</v>
      </c>
    </row>
    <row r="42" spans="2:25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v>0.09</v>
      </c>
      <c r="L42" s="42">
        <f>L41*K42</f>
        <v>202.15889999999999</v>
      </c>
      <c r="N42" s="103">
        <f>'Sales Master'!$B$1</f>
        <v>0.09</v>
      </c>
      <c r="Y42" s="19">
        <v>18</v>
      </c>
    </row>
    <row r="43" spans="2:25" ht="20.149999999999999" customHeight="1" thickBot="1" x14ac:dyDescent="0.5">
      <c r="B43" s="10" t="s">
        <v>676</v>
      </c>
      <c r="C43" s="6"/>
      <c r="D43" s="6"/>
      <c r="E43" s="6"/>
      <c r="F43" s="6"/>
      <c r="G43" s="6"/>
      <c r="H43" s="6"/>
      <c r="I43" s="6"/>
      <c r="J43" s="485" t="s">
        <v>21</v>
      </c>
      <c r="K43" s="486"/>
      <c r="L43" s="43">
        <f>L41+L42</f>
        <v>2448.3688999999999</v>
      </c>
      <c r="Y43" s="19">
        <v>4.5</v>
      </c>
    </row>
    <row r="44" spans="2:25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  <c r="O44" s="63"/>
      <c r="Y44" s="19">
        <f>SUM(Y18:Y43)</f>
        <v>799.5</v>
      </c>
    </row>
    <row r="45" spans="2:25" ht="20.149999999999999" customHeight="1" x14ac:dyDescent="0.45">
      <c r="B45" s="144" t="s">
        <v>666</v>
      </c>
      <c r="C45" s="6"/>
      <c r="L45" s="37"/>
    </row>
    <row r="46" spans="2:25" ht="20.149999999999999" customHeight="1" x14ac:dyDescent="0.45">
      <c r="B46" s="36"/>
      <c r="L46" s="37"/>
    </row>
    <row r="47" spans="2:25" ht="20.149999999999999" customHeight="1" x14ac:dyDescent="0.45">
      <c r="B47" s="36"/>
      <c r="L47" s="37"/>
    </row>
    <row r="48" spans="2:25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  <row r="53" spans="2:12" x14ac:dyDescent="0.45">
      <c r="C53" s="195"/>
      <c r="G53" s="76"/>
      <c r="H53" s="56"/>
      <c r="I53" s="56"/>
      <c r="J53" s="56"/>
      <c r="K53" s="150"/>
    </row>
    <row r="54" spans="2:12" x14ac:dyDescent="0.45">
      <c r="C54" s="17"/>
      <c r="D54" s="446"/>
      <c r="E54" s="446"/>
      <c r="F54" s="446"/>
      <c r="G54" s="76"/>
      <c r="H54" s="82"/>
      <c r="I54" s="447"/>
      <c r="J54" s="447"/>
      <c r="K54" s="150"/>
    </row>
    <row r="55" spans="2:12" x14ac:dyDescent="0.45">
      <c r="C55" s="76"/>
      <c r="D55" s="194"/>
      <c r="E55" s="194"/>
      <c r="F55" s="194"/>
      <c r="G55" s="76"/>
      <c r="H55" s="56"/>
      <c r="I55" s="56"/>
      <c r="J55" s="56"/>
      <c r="K55" s="150"/>
    </row>
    <row r="56" spans="2:12" x14ac:dyDescent="0.45">
      <c r="C56" s="153"/>
      <c r="G56" s="76"/>
      <c r="H56" s="56"/>
      <c r="I56" s="56"/>
      <c r="J56" s="56"/>
      <c r="K56" s="150"/>
    </row>
    <row r="57" spans="2:12" x14ac:dyDescent="0.45">
      <c r="C57" s="17"/>
      <c r="D57" s="446"/>
      <c r="E57" s="446"/>
      <c r="F57" s="446"/>
      <c r="G57" s="76"/>
      <c r="H57" s="82"/>
      <c r="I57" s="447"/>
      <c r="J57" s="447"/>
      <c r="K57" s="150"/>
    </row>
    <row r="58" spans="2:12" x14ac:dyDescent="0.45">
      <c r="C58" s="17"/>
      <c r="D58" s="147"/>
      <c r="E58" s="147"/>
      <c r="F58" s="147"/>
      <c r="G58" s="76"/>
      <c r="H58" s="56"/>
      <c r="I58" s="56"/>
      <c r="J58" s="56"/>
      <c r="K58" s="150"/>
    </row>
    <row r="59" spans="2:12" x14ac:dyDescent="0.45">
      <c r="C59" s="149" t="s">
        <v>1075</v>
      </c>
      <c r="G59" s="193"/>
      <c r="H59" s="56"/>
      <c r="I59" s="56"/>
      <c r="J59" s="56"/>
      <c r="K59" s="190"/>
    </row>
    <row r="60" spans="2:12" x14ac:dyDescent="0.45">
      <c r="C60" s="17" t="s">
        <v>990</v>
      </c>
      <c r="D60" s="446" t="str">
        <f>VLOOKUP(C60,'Sales Master'!B$3:D$537,2,)</f>
        <v>Fine Sugar 白糖</v>
      </c>
      <c r="E60" s="446"/>
      <c r="F60" s="446"/>
      <c r="G60" s="193">
        <v>1</v>
      </c>
      <c r="H60" s="82" t="str">
        <f>VLOOKUP(C60,'Sales Master'!$B$3:$F$2420,5,0)</f>
        <v>25 KGS</v>
      </c>
      <c r="I60" s="447" t="str">
        <f>VLOOKUP(C60,'Sales Master'!$B$3:$E$2420,4,0)</f>
        <v>MITR PHOL/ 蜜朋</v>
      </c>
      <c r="J60" s="447"/>
      <c r="K60" s="190">
        <v>31</v>
      </c>
    </row>
  </sheetData>
  <mergeCells count="61">
    <mergeCell ref="D29:F29"/>
    <mergeCell ref="D37:F37"/>
    <mergeCell ref="I37:J37"/>
    <mergeCell ref="D36:F36"/>
    <mergeCell ref="D34:F34"/>
    <mergeCell ref="I34:J34"/>
    <mergeCell ref="I29:J29"/>
    <mergeCell ref="I33:J33"/>
    <mergeCell ref="D33:F33"/>
    <mergeCell ref="D31:F31"/>
    <mergeCell ref="D32:F32"/>
    <mergeCell ref="I31:J31"/>
    <mergeCell ref="I32:J32"/>
    <mergeCell ref="D30:F30"/>
    <mergeCell ref="I30:J30"/>
    <mergeCell ref="D60:F60"/>
    <mergeCell ref="I60:J60"/>
    <mergeCell ref="D54:F54"/>
    <mergeCell ref="I54:J54"/>
    <mergeCell ref="D57:F57"/>
    <mergeCell ref="I57:J57"/>
    <mergeCell ref="J43:K43"/>
    <mergeCell ref="J39:K39"/>
    <mergeCell ref="J41:K41"/>
    <mergeCell ref="I36:J3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4:F24"/>
    <mergeCell ref="I24:J24"/>
    <mergeCell ref="D17:F17"/>
    <mergeCell ref="I17:J17"/>
    <mergeCell ref="I20:J20"/>
    <mergeCell ref="D18:F18"/>
    <mergeCell ref="I18:J18"/>
    <mergeCell ref="D20:F20"/>
    <mergeCell ref="D25:F25"/>
    <mergeCell ref="I25:J25"/>
    <mergeCell ref="D28:F28"/>
    <mergeCell ref="I28:J28"/>
    <mergeCell ref="D19:F19"/>
    <mergeCell ref="I22:J22"/>
    <mergeCell ref="I27:J27"/>
    <mergeCell ref="I23:J23"/>
    <mergeCell ref="D27:F27"/>
    <mergeCell ref="D26:F26"/>
    <mergeCell ref="I26:J26"/>
    <mergeCell ref="D23:F23"/>
    <mergeCell ref="D21:F21"/>
    <mergeCell ref="I21:J21"/>
    <mergeCell ref="D22:F22"/>
    <mergeCell ref="I19:J19"/>
  </mergeCells>
  <conditionalFormatting sqref="C35">
    <cfRule type="duplicateValues" dxfId="190" priority="1"/>
  </conditionalFormatting>
  <conditionalFormatting sqref="C36">
    <cfRule type="duplicateValues" dxfId="189" priority="2"/>
  </conditionalFormatting>
  <conditionalFormatting sqref="C56:C59">
    <cfRule type="duplicateValues" dxfId="188" priority="5"/>
  </conditionalFormatting>
  <conditionalFormatting sqref="C57:C58">
    <cfRule type="duplicateValues" dxfId="187" priority="4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29EAC-008F-40C3-A622-047EA1EAB554}">
  <sheetPr>
    <tabColor rgb="FFFFC000"/>
    <pageSetUpPr fitToPage="1"/>
  </sheetPr>
  <dimension ref="B1:Q42"/>
  <sheetViews>
    <sheetView topLeftCell="B6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276</v>
      </c>
      <c r="J10" s="24" t="s">
        <v>27</v>
      </c>
      <c r="K10" s="464">
        <v>202501126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Koufu Rasapura Masters                            2, Bayfront Avenue #B2-49A/50A Singapore 018972                                  (Nine Fresh Counter)</v>
      </c>
      <c r="G11" s="470"/>
      <c r="H11" s="471"/>
      <c r="J11" s="26" t="s">
        <v>9</v>
      </c>
      <c r="K11" s="478">
        <v>45663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2246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7" ht="20.149999999999999" customHeight="1" x14ac:dyDescent="0.45">
      <c r="B18" s="29"/>
      <c r="C18" s="212" t="s">
        <v>937</v>
      </c>
      <c r="D18" s="487" t="str">
        <f>VLOOKUP(C18,'Sales Master'!B$3:D$537,2,)</f>
        <v>Lychee in Syrup 荔枝</v>
      </c>
      <c r="E18" s="487"/>
      <c r="F18" s="487"/>
      <c r="G18" s="17">
        <v>1</v>
      </c>
      <c r="H18" s="186" t="str">
        <f>VLOOKUP(C18,'Sales Master'!$B$3:$F$2420,5,0)</f>
        <v>12 CAN/CARTON</v>
      </c>
      <c r="I18" s="484" t="str">
        <f>VLOOKUP(C18,'Sales Master'!$B$3:$E$2420,4,0)</f>
        <v>Statue</v>
      </c>
      <c r="J18" s="484"/>
      <c r="K18" s="30">
        <f>VLOOKUP(C18,'Sales Master'!$B$3:$J$537,9,0)</f>
        <v>22</v>
      </c>
      <c r="L18" s="64">
        <f>K18*G18</f>
        <v>22</v>
      </c>
      <c r="N18" s="145">
        <f>VLOOKUP(C18,'Sales Master'!$B$3:$DA$2279,104,0)</f>
        <v>16.5</v>
      </c>
      <c r="O18" s="145">
        <f>K18-N18</f>
        <v>5.5</v>
      </c>
      <c r="P18" s="145">
        <f>O18*G18</f>
        <v>5.5</v>
      </c>
      <c r="Q18" s="170"/>
    </row>
    <row r="19" spans="2:17" ht="20.149999999999999" customHeight="1" x14ac:dyDescent="0.45">
      <c r="B19" s="29"/>
      <c r="C19" s="212" t="s">
        <v>2222</v>
      </c>
      <c r="D19" s="487" t="str">
        <f>VLOOKUP(C19,'Sales Master'!B$3:D$537,2,)</f>
        <v>Longan in Syrup 龙眼</v>
      </c>
      <c r="E19" s="487"/>
      <c r="F19" s="487"/>
      <c r="G19" s="17">
        <v>1</v>
      </c>
      <c r="H19" s="188" t="str">
        <f>VLOOKUP(C19,'Sales Master'!$B$3:$F$2420,5,0)</f>
        <v>(565gm x 12)/ Ctn箱</v>
      </c>
      <c r="I19" s="484" t="str">
        <f>VLOOKUP(C19,'Sales Master'!$B$3:$E$2420,4,0)</f>
        <v>GoldenBoy</v>
      </c>
      <c r="J19" s="484"/>
      <c r="K19" s="30">
        <f>VLOOKUP(C19,'Sales Master'!$B$3:$J$537,9,0)</f>
        <v>0</v>
      </c>
      <c r="L19" s="64">
        <f>K19*G19</f>
        <v>0</v>
      </c>
      <c r="N19" s="145">
        <f>VLOOKUP(C19,'Sales Master'!$B$3:$DA$2279,104,0)</f>
        <v>20</v>
      </c>
      <c r="O19" s="145">
        <f>K19-N19</f>
        <v>-20</v>
      </c>
      <c r="P19" s="145">
        <f>O19*G19</f>
        <v>-20</v>
      </c>
      <c r="Q19" s="170"/>
    </row>
    <row r="20" spans="2:17" ht="20.149999999999999" customHeight="1" x14ac:dyDescent="0.45">
      <c r="B20" s="29"/>
      <c r="C20" s="212"/>
      <c r="D20" s="487"/>
      <c r="E20" s="487"/>
      <c r="F20" s="487"/>
      <c r="G20" s="17"/>
      <c r="H20" s="186"/>
      <c r="I20" s="484"/>
      <c r="J20" s="484"/>
      <c r="K20" s="30"/>
      <c r="L20" s="64"/>
      <c r="N20" s="145"/>
      <c r="O20" s="145"/>
      <c r="P20" s="145"/>
      <c r="Q20" s="170"/>
    </row>
    <row r="21" spans="2:17" ht="20.149999999999999" customHeight="1" x14ac:dyDescent="0.45">
      <c r="B21" s="29"/>
      <c r="C21" s="212"/>
      <c r="D21" s="487"/>
      <c r="E21" s="487"/>
      <c r="F21" s="487"/>
      <c r="G21" s="17"/>
      <c r="H21" s="186"/>
      <c r="I21" s="484"/>
      <c r="J21" s="484"/>
      <c r="K21" s="30"/>
      <c r="L21" s="64"/>
      <c r="N21" s="145"/>
      <c r="O21" s="145"/>
      <c r="P21" s="145"/>
      <c r="Q21" s="170"/>
    </row>
    <row r="22" spans="2:17" ht="20.149999999999999" customHeight="1" x14ac:dyDescent="0.45">
      <c r="B22" s="29"/>
      <c r="C22" s="212"/>
      <c r="D22" s="487"/>
      <c r="E22" s="487"/>
      <c r="F22" s="487"/>
      <c r="G22" s="17"/>
      <c r="H22" s="186"/>
      <c r="I22" s="484"/>
      <c r="J22" s="484"/>
      <c r="K22" s="30"/>
      <c r="L22" s="64"/>
      <c r="N22" s="145"/>
      <c r="O22" s="145"/>
      <c r="P22" s="145"/>
      <c r="Q22" s="170"/>
    </row>
    <row r="23" spans="2:17" ht="20.149999999999999" customHeight="1" x14ac:dyDescent="0.45">
      <c r="B23" s="29"/>
      <c r="C23" s="212"/>
      <c r="D23" s="487"/>
      <c r="E23" s="487"/>
      <c r="F23" s="487"/>
      <c r="G23" s="17"/>
      <c r="H23" s="186"/>
      <c r="I23" s="484"/>
      <c r="J23" s="484"/>
      <c r="K23" s="30"/>
      <c r="L23" s="64"/>
      <c r="N23" s="145"/>
      <c r="O23" s="145"/>
      <c r="P23" s="145"/>
      <c r="Q23" s="170"/>
    </row>
    <row r="24" spans="2:17" ht="20.149999999999999" customHeight="1" x14ac:dyDescent="0.45">
      <c r="B24" s="29"/>
      <c r="C24" s="212"/>
      <c r="D24" s="487"/>
      <c r="E24" s="487"/>
      <c r="F24" s="487"/>
      <c r="G24" s="17"/>
      <c r="H24" s="186"/>
      <c r="I24" s="484"/>
      <c r="J24" s="484"/>
      <c r="K24" s="30"/>
      <c r="L24" s="64"/>
      <c r="N24" s="145"/>
      <c r="O24" s="145"/>
      <c r="P24" s="145"/>
      <c r="Q24" s="170"/>
    </row>
    <row r="25" spans="2:17" ht="20.149999999999999" customHeight="1" x14ac:dyDescent="0.45">
      <c r="B25" s="29"/>
      <c r="C25" s="212"/>
      <c r="D25" s="487"/>
      <c r="E25" s="487"/>
      <c r="F25" s="487"/>
      <c r="G25" s="17"/>
      <c r="H25" s="186"/>
      <c r="I25" s="484"/>
      <c r="J25" s="484"/>
      <c r="K25" s="30"/>
      <c r="L25" s="64"/>
      <c r="N25" s="145"/>
      <c r="O25" s="145"/>
      <c r="P25" s="145"/>
      <c r="Q25" s="170"/>
    </row>
    <row r="26" spans="2:17" ht="20.149999999999999" customHeight="1" x14ac:dyDescent="0.45">
      <c r="B26" s="29"/>
      <c r="C26" s="212"/>
      <c r="G26" s="17"/>
      <c r="H26" s="186"/>
      <c r="I26" s="208"/>
      <c r="J26" s="208"/>
      <c r="K26" s="30"/>
      <c r="L26" s="64"/>
      <c r="N26" s="145"/>
      <c r="O26" s="145"/>
      <c r="P26" s="145"/>
      <c r="Q26" s="170"/>
    </row>
    <row r="27" spans="2:17" ht="20.149999999999999" customHeight="1" x14ac:dyDescent="0.45">
      <c r="B27" s="29"/>
      <c r="C27" s="212"/>
      <c r="G27" s="17"/>
      <c r="H27" s="186"/>
      <c r="I27" s="208"/>
      <c r="J27" s="208"/>
      <c r="K27" s="30"/>
      <c r="L27" s="64"/>
      <c r="N27" s="145"/>
      <c r="O27" s="145"/>
      <c r="P27" s="145"/>
      <c r="Q27" s="170"/>
    </row>
    <row r="28" spans="2:17" ht="20.149999999999999" customHeight="1" thickBot="1" x14ac:dyDescent="0.5">
      <c r="B28" s="32"/>
      <c r="C28" s="33"/>
      <c r="D28" s="488"/>
      <c r="E28" s="488"/>
      <c r="F28" s="488"/>
      <c r="G28" s="33"/>
      <c r="H28" s="33"/>
      <c r="I28" s="33"/>
      <c r="J28" s="33"/>
      <c r="K28" s="34"/>
      <c r="L28" s="35"/>
    </row>
    <row r="29" spans="2:17" ht="20.149999999999999" customHeight="1" thickBot="1" x14ac:dyDescent="0.5">
      <c r="B29" s="36"/>
      <c r="L29" s="37"/>
    </row>
    <row r="30" spans="2:17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SUM(L16:L28)</f>
        <v>22</v>
      </c>
      <c r="M30" s="63">
        <f>SUM(P18:P28)-L30*0.04</f>
        <v>-15.38</v>
      </c>
      <c r="N30" s="133">
        <f>M30/L30</f>
        <v>-0.6990909090909091</v>
      </c>
    </row>
    <row r="31" spans="2:17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7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22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1.98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23.98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5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18:F18"/>
    <mergeCell ref="I18:J18"/>
    <mergeCell ref="D17:F17"/>
    <mergeCell ref="D22:F22"/>
    <mergeCell ref="I22:J22"/>
    <mergeCell ref="D20:F20"/>
    <mergeCell ref="I20:J20"/>
    <mergeCell ref="D21:F21"/>
    <mergeCell ref="I21:J21"/>
    <mergeCell ref="D23:F23"/>
    <mergeCell ref="I23:J23"/>
    <mergeCell ref="J32:K32"/>
    <mergeCell ref="J34:K34"/>
    <mergeCell ref="D24:F24"/>
    <mergeCell ref="I24:J24"/>
    <mergeCell ref="D25:F25"/>
    <mergeCell ref="I25:J25"/>
    <mergeCell ref="D28:F28"/>
    <mergeCell ref="J30:K30"/>
  </mergeCells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6F231-266D-421D-9ED5-483AA6087FEB}">
  <sheetPr codeName="Sheet21">
    <tabColor rgb="FFFFC000"/>
    <pageSetUpPr fitToPage="1"/>
  </sheetPr>
  <dimension ref="B1:DA202"/>
  <sheetViews>
    <sheetView zoomScaleNormal="100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2" width="15.54296875" style="19" customWidth="1"/>
    <col min="3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1" width="12.54296875" style="19" customWidth="1"/>
    <col min="12" max="12" width="13.453125" style="19" bestFit="1" customWidth="1"/>
    <col min="13" max="13" width="13.7265625" style="19" bestFit="1" customWidth="1"/>
    <col min="14" max="14" width="12.81640625" style="19" bestFit="1" customWidth="1"/>
    <col min="15" max="15" width="12.54296875" style="19"/>
    <col min="16" max="16" width="13.7265625" style="19" bestFit="1" customWidth="1"/>
    <col min="17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277</v>
      </c>
      <c r="J10" s="24" t="s">
        <v>27</v>
      </c>
      <c r="K10" s="464">
        <v>202404226</v>
      </c>
      <c r="L10" s="465"/>
    </row>
    <row r="11" spans="2:12" ht="20.149999999999999" customHeight="1" x14ac:dyDescent="0.45">
      <c r="B11" s="466" t="s">
        <v>663</v>
      </c>
      <c r="C11" s="467"/>
      <c r="D11" s="468"/>
      <c r="E11" s="25"/>
      <c r="F11" s="469" t="str">
        <f>VLOOKUP(H10,'Delivery Location'!A$4:N$466,2,0)</f>
        <v xml:space="preserve">KI - FMD Dessert Shop                                                                          10 Senoko Way, Singapore 758031  Level 3 (Dessert)        </v>
      </c>
      <c r="G11" s="470"/>
      <c r="H11" s="471"/>
      <c r="J11" s="26" t="s">
        <v>9</v>
      </c>
      <c r="K11" s="478">
        <v>45390</v>
      </c>
      <c r="L11" s="479"/>
    </row>
    <row r="12" spans="2:12" ht="20.149999999999999" customHeight="1" x14ac:dyDescent="0.45">
      <c r="B12" s="480" t="s">
        <v>1892</v>
      </c>
      <c r="C12" s="453"/>
      <c r="D12" s="481"/>
      <c r="E12" s="25"/>
      <c r="F12" s="472"/>
      <c r="G12" s="473"/>
      <c r="H12" s="474"/>
      <c r="J12" s="26" t="s">
        <v>127</v>
      </c>
      <c r="K12" s="482">
        <v>4080387963</v>
      </c>
      <c r="L12" s="483"/>
    </row>
    <row r="13" spans="2:12" ht="20.149999999999999" customHeight="1" x14ac:dyDescent="0.45">
      <c r="B13" s="480" t="s">
        <v>1894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1893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08" t="s">
        <v>1895</v>
      </c>
      <c r="C15" s="509"/>
      <c r="D15" s="510"/>
      <c r="E15" s="21"/>
      <c r="F15" s="475"/>
      <c r="G15" s="476"/>
      <c r="H15" s="477"/>
      <c r="J15" s="27" t="s">
        <v>680</v>
      </c>
      <c r="K15" s="495">
        <v>10122506</v>
      </c>
      <c r="L15" s="496"/>
    </row>
    <row r="16" spans="2:12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7" t="s">
        <v>386</v>
      </c>
      <c r="I17" s="460" t="s">
        <v>385</v>
      </c>
      <c r="J17" s="462"/>
      <c r="K17" s="8" t="s">
        <v>5</v>
      </c>
      <c r="L17" s="9" t="s">
        <v>6</v>
      </c>
      <c r="N17" s="182" t="s">
        <v>1224</v>
      </c>
      <c r="O17" s="182" t="s">
        <v>1226</v>
      </c>
      <c r="P17" s="182" t="s">
        <v>1227</v>
      </c>
    </row>
    <row r="18" spans="2:19" ht="20.149999999999999" customHeight="1" x14ac:dyDescent="0.45">
      <c r="B18" s="245">
        <v>4000005592</v>
      </c>
      <c r="C18" s="212" t="str">
        <f>VLOOKUP(B18,'Sales Master'!A$3:B$537,2,0)</f>
        <v>P3013</v>
      </c>
      <c r="D18" s="487" t="str">
        <f>VLOOKUP(C18,'Sales Master'!B$3:D$537,2,)</f>
        <v>Black Glutinous Rice 黑糯米</v>
      </c>
      <c r="E18" s="487"/>
      <c r="F18" s="487"/>
      <c r="G18" s="17">
        <v>8</v>
      </c>
      <c r="H18" s="208" t="str">
        <f>VLOOKUP(C18,'Sales Master'!$B$3:$E$537,4,0)</f>
        <v>INDONESIA</v>
      </c>
      <c r="I18" s="519" t="str">
        <f>VLOOKUP(C18,'Sales Master'!$B$3:F$537,5,0)</f>
        <v>25 KGS</v>
      </c>
      <c r="J18" s="519"/>
      <c r="K18" s="80">
        <f>VLOOKUP(C18,'Sales Master'!$B$3:$K$2402,10,0)</f>
        <v>77</v>
      </c>
      <c r="L18" s="64">
        <f>K18*G18</f>
        <v>616</v>
      </c>
      <c r="N18" s="145">
        <f>VLOOKUP(C18,'Sales Master'!$B$3:$DA$2279,104,0)</f>
        <v>60</v>
      </c>
      <c r="O18" s="145">
        <f>K18-N18</f>
        <v>17</v>
      </c>
      <c r="P18" s="145">
        <f>O18*G18</f>
        <v>136</v>
      </c>
      <c r="R18" s="63">
        <f>N18*G18*0.07</f>
        <v>33.6</v>
      </c>
      <c r="S18" s="63">
        <f>N18*G18*0.08</f>
        <v>38.4</v>
      </c>
    </row>
    <row r="19" spans="2:19" ht="20.149999999999999" customHeight="1" x14ac:dyDescent="0.45">
      <c r="B19" s="245">
        <v>4000002756</v>
      </c>
      <c r="C19" s="212" t="str">
        <f>VLOOKUP(B19,'Sales Master'!A$3:B$537,2,0)</f>
        <v>P3003A</v>
      </c>
      <c r="D19" s="487" t="str">
        <f>VLOOKUP(C19,'Sales Master'!B$3:D$537,2,)</f>
        <v>Selaseh (Basil Seed) 青蛙蛋</v>
      </c>
      <c r="E19" s="487"/>
      <c r="F19" s="487"/>
      <c r="G19" s="17">
        <v>2</v>
      </c>
      <c r="H19" s="208" t="str">
        <f>VLOOKUP(C19,'Sales Master'!$B$3:$E$537,4,0)</f>
        <v>Tukhmaria</v>
      </c>
      <c r="I19" s="519" t="str">
        <f>VLOOKUP(C19,'Sales Master'!$B$3:F$537,5,0)</f>
        <v>1 KG</v>
      </c>
      <c r="J19" s="519"/>
      <c r="K19" s="80">
        <f>VLOOKUP(C19,'Sales Master'!$B$3:$K$2402,10,0)</f>
        <v>13</v>
      </c>
      <c r="L19" s="64">
        <f>K19*G19</f>
        <v>26</v>
      </c>
      <c r="N19" s="145">
        <f>VLOOKUP(C19,'Sales Master'!$B$3:$DA$2279,104,0)</f>
        <v>7</v>
      </c>
      <c r="O19" s="145">
        <f>K19-N19</f>
        <v>6</v>
      </c>
      <c r="P19" s="145">
        <f>O19*G19</f>
        <v>12</v>
      </c>
      <c r="R19" s="63">
        <f>N19*G19*0.07</f>
        <v>0.98000000000000009</v>
      </c>
      <c r="S19" s="63">
        <f>N19*G19*0.08</f>
        <v>1.1200000000000001</v>
      </c>
    </row>
    <row r="20" spans="2:19" ht="20.149999999999999" customHeight="1" x14ac:dyDescent="0.45">
      <c r="B20" s="245"/>
      <c r="C20" s="212"/>
      <c r="D20" s="487"/>
      <c r="E20" s="487"/>
      <c r="F20" s="487"/>
      <c r="G20" s="17"/>
      <c r="H20" s="208"/>
      <c r="I20" s="519"/>
      <c r="J20" s="519"/>
      <c r="K20" s="80"/>
      <c r="L20" s="64"/>
      <c r="N20" s="145"/>
      <c r="O20" s="145"/>
      <c r="P20" s="145"/>
      <c r="R20" s="63"/>
      <c r="S20" s="63"/>
    </row>
    <row r="21" spans="2:19" ht="20.149999999999999" customHeight="1" x14ac:dyDescent="0.45">
      <c r="B21" s="29"/>
      <c r="C21" s="17"/>
      <c r="D21" s="487"/>
      <c r="E21" s="487"/>
      <c r="F21" s="487"/>
      <c r="G21" s="17"/>
      <c r="H21" s="208"/>
      <c r="I21" s="519"/>
      <c r="J21" s="519"/>
      <c r="K21" s="80"/>
      <c r="L21" s="64"/>
      <c r="N21" s="145"/>
      <c r="O21" s="145"/>
      <c r="P21" s="145"/>
      <c r="R21" s="63"/>
      <c r="S21" s="63"/>
    </row>
    <row r="22" spans="2:19" ht="20.149999999999999" customHeight="1" x14ac:dyDescent="0.45">
      <c r="B22" s="29"/>
      <c r="C22" s="17"/>
      <c r="D22" s="487"/>
      <c r="E22" s="487"/>
      <c r="F22" s="487"/>
      <c r="G22" s="17"/>
      <c r="H22" s="208"/>
      <c r="I22" s="519"/>
      <c r="J22" s="519"/>
      <c r="K22" s="80"/>
      <c r="L22" s="64"/>
      <c r="N22" s="145"/>
      <c r="O22" s="145"/>
      <c r="P22" s="145"/>
      <c r="R22" s="63"/>
      <c r="S22" s="63"/>
    </row>
    <row r="23" spans="2:19" ht="20.149999999999999" customHeight="1" x14ac:dyDescent="0.45">
      <c r="B23" s="29" t="s">
        <v>439</v>
      </c>
      <c r="C23" s="17"/>
      <c r="G23" s="17"/>
      <c r="H23" s="56"/>
      <c r="I23" s="56"/>
      <c r="J23" s="56"/>
      <c r="K23" s="80"/>
      <c r="L23" s="64"/>
      <c r="N23" s="145"/>
      <c r="O23" s="145"/>
      <c r="P23" s="145"/>
    </row>
    <row r="24" spans="2:19" ht="20.149999999999999" customHeight="1" x14ac:dyDescent="0.45">
      <c r="B24" s="29"/>
      <c r="C24" s="17"/>
      <c r="G24" s="17"/>
      <c r="H24" s="56"/>
      <c r="I24" s="56"/>
      <c r="J24" s="56"/>
      <c r="K24" s="80"/>
      <c r="L24" s="64"/>
      <c r="N24" s="145"/>
      <c r="O24" s="145"/>
      <c r="P24" s="145"/>
    </row>
    <row r="25" spans="2:19" ht="20.149999999999999" customHeight="1" x14ac:dyDescent="0.45">
      <c r="B25" s="29"/>
      <c r="C25" s="17"/>
      <c r="G25" s="17"/>
      <c r="H25" s="56"/>
      <c r="I25" s="56"/>
      <c r="J25" s="56"/>
      <c r="K25" s="80"/>
      <c r="L25" s="64"/>
      <c r="N25" s="145"/>
      <c r="O25" s="145"/>
      <c r="P25" s="145"/>
    </row>
    <row r="26" spans="2:19" ht="20.149999999999999" customHeight="1" x14ac:dyDescent="0.45">
      <c r="B26" s="29"/>
      <c r="C26" s="17"/>
      <c r="G26" s="17"/>
      <c r="H26" s="56"/>
      <c r="I26" s="56"/>
      <c r="J26" s="56"/>
      <c r="K26" s="80"/>
      <c r="L26" s="64"/>
      <c r="N26" s="145"/>
      <c r="O26" s="145"/>
      <c r="P26" s="145"/>
    </row>
    <row r="27" spans="2:19" ht="20.149999999999999" customHeight="1" x14ac:dyDescent="0.45">
      <c r="B27" s="29"/>
      <c r="C27" s="17"/>
      <c r="D27" s="487"/>
      <c r="E27" s="487"/>
      <c r="F27" s="487"/>
      <c r="G27" s="17"/>
      <c r="H27" s="56"/>
      <c r="I27" s="494"/>
      <c r="J27" s="494"/>
      <c r="K27" s="80"/>
      <c r="L27" s="64"/>
      <c r="N27" s="145"/>
      <c r="O27" s="145"/>
      <c r="P27" s="145"/>
    </row>
    <row r="28" spans="2:19" ht="20.149999999999999" customHeight="1" thickBot="1" x14ac:dyDescent="0.5">
      <c r="B28" s="32"/>
      <c r="C28" s="33"/>
      <c r="D28" s="488"/>
      <c r="E28" s="488"/>
      <c r="F28" s="488"/>
      <c r="G28" s="33"/>
      <c r="H28" s="57"/>
      <c r="I28" s="459"/>
      <c r="J28" s="459"/>
      <c r="K28" s="34"/>
      <c r="L28" s="35"/>
      <c r="N28" s="145"/>
      <c r="O28" s="145"/>
      <c r="P28" s="145"/>
    </row>
    <row r="29" spans="2:19" ht="20.149999999999999" customHeight="1" thickBot="1" x14ac:dyDescent="0.5">
      <c r="B29" s="36"/>
      <c r="L29" s="37"/>
      <c r="N29" s="145"/>
      <c r="O29" s="145"/>
      <c r="P29" s="145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SUM(L17:L29)</f>
        <v>642</v>
      </c>
      <c r="M30" s="63">
        <f>SUM(P18:P28)</f>
        <v>148</v>
      </c>
      <c r="N30" s="133">
        <f>M30/L30</f>
        <v>0.23052959501557632</v>
      </c>
      <c r="P30" s="133"/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642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57.78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699.78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 t="s">
        <v>439</v>
      </c>
    </row>
    <row r="36" spans="2:12" ht="20.149999999999999" customHeight="1" x14ac:dyDescent="0.45">
      <c r="B36" s="144" t="s">
        <v>666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J38" s="45"/>
      <c r="K38" s="45"/>
      <c r="L38" s="46"/>
    </row>
    <row r="39" spans="2:12" ht="20.149999999999999" customHeight="1" x14ac:dyDescent="0.45">
      <c r="B39" s="36"/>
      <c r="J39" s="19" t="s">
        <v>26</v>
      </c>
      <c r="L39" s="37"/>
    </row>
    <row r="40" spans="2:12" ht="20.149999999999999" customHeight="1" x14ac:dyDescent="0.45">
      <c r="B40" s="44"/>
      <c r="C40" s="45"/>
      <c r="D40" s="45"/>
      <c r="J40" s="19" t="s">
        <v>690</v>
      </c>
      <c r="L40" s="37"/>
    </row>
    <row r="41" spans="2:12" ht="20.149999999999999" customHeight="1" x14ac:dyDescent="0.45">
      <c r="B41" s="36" t="s">
        <v>25</v>
      </c>
      <c r="J41" s="19" t="s">
        <v>691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20.5" x14ac:dyDescent="0.45">
      <c r="F43" s="202"/>
    </row>
    <row r="190" spans="105:105" x14ac:dyDescent="0.45">
      <c r="DA190" s="191">
        <v>4.3</v>
      </c>
    </row>
    <row r="194" spans="105:105" x14ac:dyDescent="0.45">
      <c r="DA194" s="192">
        <f>2.9*5</f>
        <v>14.5</v>
      </c>
    </row>
    <row r="195" spans="105:105" x14ac:dyDescent="0.45">
      <c r="DA195" s="192">
        <f>2.9*2</f>
        <v>5.8</v>
      </c>
    </row>
    <row r="198" spans="105:105" x14ac:dyDescent="0.45">
      <c r="DA198" s="93"/>
    </row>
    <row r="199" spans="105:105" x14ac:dyDescent="0.45">
      <c r="DA199" s="93"/>
    </row>
    <row r="200" spans="105:105" x14ac:dyDescent="0.45">
      <c r="DA200" s="93">
        <f>DA198/60</f>
        <v>0</v>
      </c>
    </row>
    <row r="201" spans="105:105" x14ac:dyDescent="0.45">
      <c r="DA201" s="93">
        <v>100</v>
      </c>
    </row>
    <row r="202" spans="105:105" x14ac:dyDescent="0.45">
      <c r="DA202" s="93"/>
    </row>
  </sheetData>
  <mergeCells count="32">
    <mergeCell ref="D22:F22"/>
    <mergeCell ref="I22:J22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9:F19"/>
    <mergeCell ref="I19:J19"/>
    <mergeCell ref="B15:D15"/>
    <mergeCell ref="J34:K34"/>
    <mergeCell ref="D28:F28"/>
    <mergeCell ref="I28:J28"/>
    <mergeCell ref="D27:F27"/>
    <mergeCell ref="I27:J27"/>
    <mergeCell ref="J30:K30"/>
    <mergeCell ref="J32:K32"/>
    <mergeCell ref="I21:J21"/>
    <mergeCell ref="I18:J18"/>
    <mergeCell ref="D18:F18"/>
    <mergeCell ref="D20:F20"/>
    <mergeCell ref="I20:J20"/>
    <mergeCell ref="D21:F21"/>
  </mergeCells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312B3-9303-478B-8AEB-7468E06DCD77}">
  <sheetPr codeName="Sheet163">
    <tabColor rgb="FF7030A0"/>
    <pageSetUpPr fitToPage="1"/>
  </sheetPr>
  <dimension ref="B1:O51"/>
  <sheetViews>
    <sheetView topLeftCell="B12" workbookViewId="0">
      <selection activeCell="B1" sqref="B1:L5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346">
        <f>'#01'!M1</f>
        <v>0.09</v>
      </c>
    </row>
    <row r="2" spans="2:13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3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3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3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3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3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3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3" ht="19" thickBot="1" x14ac:dyDescent="0.5"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75</v>
      </c>
      <c r="J10" s="24" t="s">
        <v>27</v>
      </c>
      <c r="K10" s="464">
        <v>202001279</v>
      </c>
      <c r="L10" s="465"/>
    </row>
    <row r="11" spans="2:13" ht="20.149999999999999" customHeight="1" x14ac:dyDescent="0.45">
      <c r="B11" s="466" t="s">
        <v>316</v>
      </c>
      <c r="C11" s="467"/>
      <c r="D11" s="468"/>
      <c r="E11" s="25"/>
      <c r="F11" s="469" t="str">
        <f>VLOOKUP(H10,'Delivery Location'!A$4:N$466,2,0)</f>
        <v xml:space="preserve">Koufu - (Drink)                                             6, Raffles Boulevard #04-101/102 Marina Square Singapore 039594                 </v>
      </c>
      <c r="G11" s="470"/>
      <c r="H11" s="471"/>
      <c r="J11" s="26" t="s">
        <v>9</v>
      </c>
      <c r="K11" s="500" t="s">
        <v>550</v>
      </c>
      <c r="L11" s="483"/>
    </row>
    <row r="12" spans="2:13" ht="20.149999999999999" customHeight="1" x14ac:dyDescent="0.45">
      <c r="B12" s="480" t="s">
        <v>317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3" ht="20.149999999999999" customHeight="1" x14ac:dyDescent="0.45">
      <c r="B13" s="480" t="s">
        <v>318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3" ht="20.149999999999999" customHeight="1" x14ac:dyDescent="0.45">
      <c r="B14" s="480" t="s">
        <v>353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3" ht="18" customHeight="1" thickBot="1" x14ac:dyDescent="0.5">
      <c r="B15" s="50"/>
      <c r="C15" s="51"/>
      <c r="D15" s="52"/>
      <c r="E15" s="21"/>
      <c r="F15" s="475"/>
      <c r="G15" s="476"/>
      <c r="H15" s="477"/>
      <c r="J15" s="27" t="s">
        <v>11</v>
      </c>
      <c r="K15" s="495"/>
      <c r="L15" s="496"/>
    </row>
    <row r="16" spans="2:13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287</v>
      </c>
      <c r="D18" s="487" t="e">
        <f>VLOOKUP(C18,'Sales Master'!B$3:D$537,2,)</f>
        <v>#N/A</v>
      </c>
      <c r="E18" s="487"/>
      <c r="F18" s="487"/>
      <c r="G18" s="17">
        <v>2</v>
      </c>
      <c r="H18" s="56"/>
      <c r="I18" s="494"/>
      <c r="J18" s="494"/>
      <c r="K18" s="30"/>
      <c r="L18" s="31"/>
    </row>
    <row r="19" spans="2:15" ht="20.149999999999999" customHeight="1" x14ac:dyDescent="0.45">
      <c r="B19" s="29"/>
      <c r="C19" s="17" t="s">
        <v>296</v>
      </c>
      <c r="D19" s="487" t="e">
        <f>VLOOKUP(C19,'Sales Master'!B$3:D$537,2,)</f>
        <v>#N/A</v>
      </c>
      <c r="E19" s="487"/>
      <c r="F19" s="487"/>
      <c r="G19" s="17">
        <v>1</v>
      </c>
      <c r="H19" s="56"/>
      <c r="I19" s="494"/>
      <c r="J19" s="494"/>
      <c r="K19" s="30"/>
      <c r="L19" s="31"/>
    </row>
    <row r="20" spans="2:15" ht="20.149999999999999" customHeight="1" x14ac:dyDescent="0.45">
      <c r="B20" s="29"/>
      <c r="C20" s="17"/>
      <c r="D20" s="487"/>
      <c r="E20" s="487"/>
      <c r="F20" s="487"/>
      <c r="G20" s="17"/>
      <c r="H20" s="56"/>
      <c r="I20" s="494"/>
      <c r="J20" s="494"/>
      <c r="K20" s="30"/>
      <c r="L20" s="31"/>
    </row>
    <row r="21" spans="2:15" ht="20.149999999999999" customHeight="1" x14ac:dyDescent="0.45">
      <c r="B21" s="29"/>
      <c r="C21" s="17"/>
      <c r="D21" s="487"/>
      <c r="E21" s="487"/>
      <c r="F21" s="487"/>
      <c r="G21" s="17"/>
      <c r="H21" s="56"/>
      <c r="I21" s="458"/>
      <c r="J21" s="458"/>
      <c r="K21" s="30"/>
      <c r="L21" s="31"/>
    </row>
    <row r="22" spans="2:15" ht="20.149999999999999" customHeight="1" x14ac:dyDescent="0.45">
      <c r="B22" s="29"/>
      <c r="C22" s="17"/>
      <c r="G22" s="17"/>
      <c r="H22" s="56"/>
      <c r="I22" s="458"/>
      <c r="J22" s="458"/>
      <c r="K22" s="30"/>
      <c r="L22" s="31"/>
    </row>
    <row r="23" spans="2:15" ht="20.149999999999999" customHeight="1" x14ac:dyDescent="0.45">
      <c r="B23" s="29"/>
      <c r="C23" s="17"/>
      <c r="G23" s="17"/>
      <c r="H23" s="56"/>
      <c r="I23" s="458"/>
      <c r="J23" s="458"/>
      <c r="K23" s="30"/>
      <c r="L23" s="31"/>
    </row>
    <row r="24" spans="2:15" ht="20.149999999999999" customHeight="1" x14ac:dyDescent="0.45">
      <c r="B24" s="29"/>
      <c r="C24" s="17"/>
      <c r="G24" s="17"/>
      <c r="H24" s="56"/>
      <c r="I24" s="458"/>
      <c r="J24" s="458"/>
      <c r="K24" s="30"/>
      <c r="L24" s="31"/>
    </row>
    <row r="25" spans="2:15" ht="20.149999999999999" customHeight="1" x14ac:dyDescent="0.45">
      <c r="B25" s="29"/>
      <c r="C25" s="17"/>
      <c r="G25" s="17"/>
      <c r="H25" s="56"/>
      <c r="I25" s="458"/>
      <c r="J25" s="458"/>
      <c r="K25" s="30"/>
      <c r="L25" s="31"/>
    </row>
    <row r="26" spans="2:15" ht="20.149999999999999" customHeight="1" x14ac:dyDescent="0.45">
      <c r="B26" s="29"/>
      <c r="C26" s="17"/>
      <c r="G26" s="17"/>
      <c r="H26" s="56"/>
      <c r="I26" s="458"/>
      <c r="J26" s="458"/>
      <c r="K26" s="30"/>
      <c r="L26" s="31"/>
    </row>
    <row r="27" spans="2:15" ht="20.149999999999999" customHeight="1" x14ac:dyDescent="0.45">
      <c r="B27" s="29"/>
      <c r="C27" s="17"/>
      <c r="G27" s="17"/>
      <c r="H27" s="56"/>
      <c r="I27" s="458"/>
      <c r="J27" s="458"/>
      <c r="K27" s="30"/>
      <c r="L27" s="31"/>
    </row>
    <row r="28" spans="2:15" ht="20.149999999999999" customHeight="1" x14ac:dyDescent="0.45">
      <c r="B28" s="29"/>
      <c r="C28" s="17"/>
      <c r="G28" s="17"/>
      <c r="H28" s="56"/>
      <c r="I28" s="458"/>
      <c r="J28" s="458"/>
      <c r="K28" s="30"/>
      <c r="L28" s="31"/>
    </row>
    <row r="29" spans="2:15" ht="20.149999999999999" customHeight="1" x14ac:dyDescent="0.45">
      <c r="B29" s="29"/>
      <c r="C29" s="17"/>
      <c r="G29" s="17"/>
      <c r="H29" s="56"/>
      <c r="I29" s="458"/>
      <c r="J29" s="458"/>
      <c r="K29" s="30"/>
      <c r="L29" s="31"/>
    </row>
    <row r="30" spans="2:15" ht="20.149999999999999" customHeight="1" x14ac:dyDescent="0.45">
      <c r="B30" s="29"/>
      <c r="C30" s="17"/>
      <c r="G30" s="17"/>
      <c r="H30" s="56"/>
      <c r="I30" s="458"/>
      <c r="J30" s="458"/>
      <c r="K30" s="30"/>
      <c r="L30" s="31"/>
    </row>
    <row r="31" spans="2:15" ht="20.149999999999999" customHeight="1" x14ac:dyDescent="0.45">
      <c r="B31" s="29"/>
      <c r="C31" s="17"/>
      <c r="G31" s="17"/>
      <c r="H31" s="56"/>
      <c r="I31" s="17"/>
      <c r="J31" s="17"/>
      <c r="K31" s="30"/>
      <c r="L31" s="31"/>
    </row>
    <row r="32" spans="2:15" ht="20.149999999999999" customHeight="1" x14ac:dyDescent="0.45">
      <c r="B32" s="29"/>
      <c r="C32" s="17"/>
      <c r="G32" s="17"/>
      <c r="H32" s="56"/>
      <c r="I32" s="17"/>
      <c r="J32" s="17"/>
      <c r="K32" s="30"/>
      <c r="L32" s="31"/>
    </row>
    <row r="33" spans="2:12" ht="20.149999999999999" customHeight="1" x14ac:dyDescent="0.45">
      <c r="B33" s="29"/>
      <c r="C33" s="17"/>
      <c r="G33" s="17"/>
      <c r="H33" s="56"/>
      <c r="I33" s="17"/>
      <c r="J33" s="17"/>
      <c r="K33" s="30"/>
      <c r="L33" s="31"/>
    </row>
    <row r="34" spans="2:12" ht="20.149999999999999" customHeight="1" x14ac:dyDescent="0.45">
      <c r="B34" s="29"/>
      <c r="C34" s="17"/>
      <c r="D34" s="487"/>
      <c r="E34" s="487"/>
      <c r="F34" s="487"/>
      <c r="G34" s="17"/>
      <c r="H34" s="56"/>
      <c r="I34" s="56"/>
      <c r="J34" s="17"/>
      <c r="K34" s="30"/>
      <c r="L34" s="31"/>
    </row>
    <row r="35" spans="2:12" ht="20.149999999999999" customHeight="1" x14ac:dyDescent="0.45">
      <c r="B35" s="29"/>
      <c r="C35" s="17"/>
      <c r="D35" s="487"/>
      <c r="E35" s="487"/>
      <c r="F35" s="487"/>
      <c r="G35" s="17"/>
      <c r="H35" s="56"/>
      <c r="I35" s="56"/>
      <c r="J35" s="17"/>
      <c r="K35" s="30"/>
      <c r="L35" s="31"/>
    </row>
    <row r="36" spans="2:12" ht="20.149999999999999" customHeight="1" x14ac:dyDescent="0.45">
      <c r="B36" s="29"/>
      <c r="C36" s="17"/>
      <c r="D36" s="487"/>
      <c r="E36" s="487"/>
      <c r="F36" s="487"/>
      <c r="G36" s="17"/>
      <c r="H36" s="17"/>
      <c r="I36" s="17"/>
      <c r="J36" s="17"/>
      <c r="K36" s="30"/>
      <c r="L36" s="31"/>
    </row>
    <row r="37" spans="2:12" ht="20.149999999999999" customHeight="1" thickBot="1" x14ac:dyDescent="0.5">
      <c r="B37" s="32"/>
      <c r="C37" s="33"/>
      <c r="D37" s="488"/>
      <c r="E37" s="488"/>
      <c r="F37" s="488"/>
      <c r="G37" s="33"/>
      <c r="H37" s="33"/>
      <c r="I37" s="33"/>
      <c r="J37" s="33"/>
      <c r="K37" s="34"/>
      <c r="L37" s="35"/>
    </row>
    <row r="38" spans="2:12" ht="20.149999999999999" customHeight="1" thickBot="1" x14ac:dyDescent="0.5">
      <c r="B38" s="36"/>
      <c r="L38" s="37"/>
    </row>
    <row r="39" spans="2:12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89" t="s">
        <v>13</v>
      </c>
      <c r="K39" s="490"/>
      <c r="L39" s="38">
        <f>SUM(L17:L37)</f>
        <v>0</v>
      </c>
    </row>
    <row r="40" spans="2:12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</row>
    <row r="41" spans="2:12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91" t="s">
        <v>19</v>
      </c>
      <c r="K41" s="492"/>
      <c r="L41" s="41">
        <f>L39-L40</f>
        <v>0</v>
      </c>
    </row>
    <row r="42" spans="2:12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0</v>
      </c>
    </row>
    <row r="43" spans="2:12" ht="20.149999999999999" customHeight="1" thickBot="1" x14ac:dyDescent="0.5">
      <c r="B43" s="10" t="s">
        <v>23</v>
      </c>
      <c r="C43" s="6"/>
      <c r="D43" s="6"/>
      <c r="E43" s="6"/>
      <c r="F43" s="6"/>
      <c r="G43" s="6"/>
      <c r="H43" s="6"/>
      <c r="I43" s="6"/>
      <c r="J43" s="485" t="s">
        <v>21</v>
      </c>
      <c r="K43" s="486"/>
      <c r="L43" s="43">
        <f>L41+L42</f>
        <v>0</v>
      </c>
    </row>
    <row r="44" spans="2:12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2" ht="20.149999999999999" customHeight="1" x14ac:dyDescent="0.45">
      <c r="B45" s="36"/>
      <c r="L45" s="37"/>
    </row>
    <row r="46" spans="2:12" ht="20.149999999999999" customHeight="1" x14ac:dyDescent="0.45">
      <c r="B46" s="36"/>
      <c r="L46" s="37"/>
    </row>
    <row r="47" spans="2:12" ht="20.149999999999999" customHeight="1" x14ac:dyDescent="0.45">
      <c r="B47" s="36"/>
      <c r="L47" s="37"/>
    </row>
    <row r="48" spans="2:12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D18:F18"/>
    <mergeCell ref="I18:J18"/>
    <mergeCell ref="I22:J22"/>
    <mergeCell ref="D19:F19"/>
    <mergeCell ref="I19:J19"/>
    <mergeCell ref="J41:K41"/>
    <mergeCell ref="J43:K43"/>
    <mergeCell ref="I30:J30"/>
    <mergeCell ref="D34:F34"/>
    <mergeCell ref="D35:F35"/>
    <mergeCell ref="D36:F36"/>
    <mergeCell ref="D37:F37"/>
    <mergeCell ref="J39:K39"/>
    <mergeCell ref="I29:J29"/>
    <mergeCell ref="D20:F20"/>
    <mergeCell ref="I20:J20"/>
    <mergeCell ref="D21:F21"/>
    <mergeCell ref="I21:J21"/>
    <mergeCell ref="I27:J27"/>
    <mergeCell ref="I28:J28"/>
    <mergeCell ref="I23:J23"/>
    <mergeCell ref="I24:J24"/>
    <mergeCell ref="I25:J25"/>
    <mergeCell ref="I26:J26"/>
  </mergeCells>
  <pageMargins left="0.70866141732283505" right="0.31496062992126" top="2.1653543307086598" bottom="0" header="0.31496062992126" footer="0.31496062992126"/>
  <pageSetup paperSize="9" scale="75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3CB1F-76C2-4077-8F5D-75B3D8FEF3CA}">
  <sheetPr>
    <tabColor rgb="FFFFC000"/>
    <pageSetUpPr fitToPage="1"/>
  </sheetPr>
  <dimension ref="B1:DA202"/>
  <sheetViews>
    <sheetView topLeftCell="A6" zoomScaleNormal="100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2" width="15.54296875" style="19" customWidth="1"/>
    <col min="3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1" width="12.54296875" style="19" customWidth="1"/>
    <col min="12" max="12" width="13.453125" style="19" bestFit="1" customWidth="1"/>
    <col min="13" max="13" width="13.7265625" style="19" bestFit="1" customWidth="1"/>
    <col min="14" max="14" width="12.81640625" style="19" bestFit="1" customWidth="1"/>
    <col min="15" max="15" width="12.54296875" style="19"/>
    <col min="16" max="16" width="13.7265625" style="19" bestFit="1" customWidth="1"/>
    <col min="17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390</v>
      </c>
      <c r="J10" s="24" t="s">
        <v>27</v>
      </c>
      <c r="K10" s="464">
        <v>202501113</v>
      </c>
      <c r="L10" s="465"/>
    </row>
    <row r="11" spans="2:12" ht="20.149999999999999" customHeight="1" x14ac:dyDescent="0.45">
      <c r="B11" s="466" t="s">
        <v>1928</v>
      </c>
      <c r="C11" s="467"/>
      <c r="D11" s="468"/>
      <c r="E11" s="25"/>
      <c r="F11" s="469" t="str">
        <f>VLOOKUP(H10,'Delivery Location'!A$4:N$466,2,0)</f>
        <v>FMD FOOD MANUFACTURING (FMD DESSERT)                                                                    10 Senoko Way, Singapore 758031  Level 3 (Dessert)                            Contact Person:  Mei Yei Low</v>
      </c>
      <c r="G11" s="470"/>
      <c r="H11" s="471"/>
      <c r="J11" s="26" t="s">
        <v>9</v>
      </c>
      <c r="K11" s="478">
        <v>45663</v>
      </c>
      <c r="L11" s="479"/>
    </row>
    <row r="12" spans="2:12" ht="20.149999999999999" customHeight="1" x14ac:dyDescent="0.45">
      <c r="B12" s="480" t="s">
        <v>1929</v>
      </c>
      <c r="C12" s="453"/>
      <c r="D12" s="481"/>
      <c r="E12" s="25"/>
      <c r="F12" s="472"/>
      <c r="G12" s="473"/>
      <c r="H12" s="474"/>
      <c r="J12" s="26" t="s">
        <v>127</v>
      </c>
      <c r="K12" s="482">
        <v>4080433893</v>
      </c>
      <c r="L12" s="483"/>
    </row>
    <row r="13" spans="2:12" ht="20.149999999999999" customHeight="1" x14ac:dyDescent="0.45">
      <c r="B13" s="480" t="s">
        <v>1893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565"/>
      <c r="C14" s="566"/>
      <c r="D14" s="567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08"/>
      <c r="C15" s="509"/>
      <c r="D15" s="510"/>
      <c r="E15" s="21"/>
      <c r="F15" s="475"/>
      <c r="G15" s="476"/>
      <c r="H15" s="477"/>
      <c r="J15" s="27" t="s">
        <v>680</v>
      </c>
      <c r="K15" s="495">
        <v>10122506</v>
      </c>
      <c r="L15" s="496"/>
    </row>
    <row r="16" spans="2:12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7" t="s">
        <v>386</v>
      </c>
      <c r="I17" s="460" t="s">
        <v>385</v>
      </c>
      <c r="J17" s="462"/>
      <c r="K17" s="8" t="s">
        <v>5</v>
      </c>
      <c r="L17" s="9" t="s">
        <v>6</v>
      </c>
      <c r="N17" s="182" t="s">
        <v>1224</v>
      </c>
      <c r="O17" s="182" t="s">
        <v>1226</v>
      </c>
      <c r="P17" s="182" t="s">
        <v>1227</v>
      </c>
    </row>
    <row r="18" spans="2:19" ht="20.149999999999999" customHeight="1" x14ac:dyDescent="0.45">
      <c r="B18" s="245">
        <v>4000005592</v>
      </c>
      <c r="C18" s="212" t="str">
        <f>VLOOKUP(B18,'Sales Master'!A$3:B$537,2,0)</f>
        <v>P3013</v>
      </c>
      <c r="D18" s="487" t="str">
        <f>VLOOKUP(C18,'Sales Master'!B$3:D$537,2,)</f>
        <v>Black Glutinous Rice 黑糯米</v>
      </c>
      <c r="E18" s="487"/>
      <c r="F18" s="487"/>
      <c r="G18" s="17">
        <v>11</v>
      </c>
      <c r="H18" s="208" t="str">
        <f>VLOOKUP(C18,'Sales Master'!$B$3:$E$537,4,0)</f>
        <v>INDONESIA</v>
      </c>
      <c r="I18" s="519" t="str">
        <f>VLOOKUP(C18,'Sales Master'!$B$3:F$537,5,0)</f>
        <v>25 KGS</v>
      </c>
      <c r="J18" s="519"/>
      <c r="K18" s="80">
        <f>VLOOKUP(C18,'Sales Master'!$B$3:$K$2402,10,0)</f>
        <v>77</v>
      </c>
      <c r="L18" s="64">
        <f>K18*G18</f>
        <v>847</v>
      </c>
      <c r="N18" s="145">
        <f>VLOOKUP(C18,'Sales Master'!$B$3:$DA$2279,104,0)</f>
        <v>60</v>
      </c>
      <c r="O18" s="145">
        <f>K18-N18</f>
        <v>17</v>
      </c>
      <c r="P18" s="145">
        <f>O18*G18</f>
        <v>187</v>
      </c>
      <c r="R18" s="63">
        <f>N18*G18*0.07</f>
        <v>46.2</v>
      </c>
      <c r="S18" s="63">
        <f>N18*G18*0.08</f>
        <v>52.800000000000004</v>
      </c>
    </row>
    <row r="19" spans="2:19" ht="20.149999999999999" customHeight="1" x14ac:dyDescent="0.45">
      <c r="B19" s="245"/>
      <c r="C19" s="212"/>
      <c r="D19" s="487"/>
      <c r="E19" s="487"/>
      <c r="F19" s="487"/>
      <c r="G19" s="17"/>
      <c r="H19" s="208"/>
      <c r="I19" s="519"/>
      <c r="J19" s="519"/>
      <c r="K19" s="80"/>
      <c r="L19" s="64"/>
      <c r="N19" s="145"/>
      <c r="O19" s="145"/>
      <c r="P19" s="145"/>
      <c r="R19" s="63"/>
      <c r="S19" s="63"/>
    </row>
    <row r="20" spans="2:19" ht="20.149999999999999" customHeight="1" x14ac:dyDescent="0.45">
      <c r="B20" s="245"/>
      <c r="C20" s="212"/>
      <c r="D20" s="487"/>
      <c r="E20" s="487"/>
      <c r="F20" s="487"/>
      <c r="G20" s="17"/>
      <c r="H20" s="208"/>
      <c r="I20" s="519"/>
      <c r="J20" s="519"/>
      <c r="K20" s="80"/>
      <c r="L20" s="64"/>
      <c r="N20" s="145"/>
      <c r="O20" s="145"/>
      <c r="P20" s="145"/>
      <c r="R20" s="63"/>
      <c r="S20" s="63"/>
    </row>
    <row r="21" spans="2:19" ht="20.149999999999999" customHeight="1" x14ac:dyDescent="0.45">
      <c r="B21" s="29"/>
      <c r="C21" s="17"/>
      <c r="D21" s="487"/>
      <c r="E21" s="487"/>
      <c r="F21" s="487"/>
      <c r="G21" s="17"/>
      <c r="H21" s="208"/>
      <c r="I21" s="519"/>
      <c r="J21" s="519"/>
      <c r="K21" s="80"/>
      <c r="L21" s="64"/>
      <c r="N21" s="145"/>
      <c r="O21" s="145"/>
      <c r="P21" s="145"/>
      <c r="R21" s="63"/>
      <c r="S21" s="63"/>
    </row>
    <row r="22" spans="2:19" ht="20.149999999999999" customHeight="1" x14ac:dyDescent="0.45">
      <c r="B22" s="29"/>
      <c r="C22" s="17"/>
      <c r="D22" s="487"/>
      <c r="E22" s="487"/>
      <c r="F22" s="487"/>
      <c r="G22" s="17"/>
      <c r="H22" s="208"/>
      <c r="I22" s="519"/>
      <c r="J22" s="519"/>
      <c r="K22" s="80"/>
      <c r="L22" s="64"/>
      <c r="N22" s="145"/>
      <c r="O22" s="145"/>
      <c r="P22" s="145"/>
      <c r="R22" s="63"/>
      <c r="S22" s="63"/>
    </row>
    <row r="23" spans="2:19" ht="20.149999999999999" customHeight="1" x14ac:dyDescent="0.45">
      <c r="B23" s="29" t="s">
        <v>439</v>
      </c>
      <c r="C23" s="17"/>
      <c r="G23" s="17"/>
      <c r="H23" s="56"/>
      <c r="I23" s="56"/>
      <c r="J23" s="56"/>
      <c r="K23" s="80"/>
      <c r="L23" s="64"/>
      <c r="N23" s="145"/>
      <c r="O23" s="145"/>
      <c r="P23" s="145"/>
    </row>
    <row r="24" spans="2:19" ht="20.149999999999999" customHeight="1" x14ac:dyDescent="0.45">
      <c r="B24" s="29"/>
      <c r="C24" s="17"/>
      <c r="G24" s="17"/>
      <c r="H24" s="56"/>
      <c r="I24" s="56"/>
      <c r="J24" s="56"/>
      <c r="K24" s="80"/>
      <c r="L24" s="64"/>
      <c r="N24" s="145"/>
      <c r="O24" s="145"/>
      <c r="P24" s="145"/>
    </row>
    <row r="25" spans="2:19" ht="20.149999999999999" customHeight="1" x14ac:dyDescent="0.45">
      <c r="B25" s="29"/>
      <c r="C25" s="17"/>
      <c r="G25" s="17"/>
      <c r="H25" s="56"/>
      <c r="I25" s="56"/>
      <c r="J25" s="56"/>
      <c r="K25" s="80"/>
      <c r="L25" s="64"/>
      <c r="N25" s="145"/>
      <c r="O25" s="145"/>
      <c r="P25" s="145"/>
    </row>
    <row r="26" spans="2:19" ht="20.149999999999999" customHeight="1" x14ac:dyDescent="0.45">
      <c r="B26" s="29"/>
      <c r="C26" s="17"/>
      <c r="G26" s="17"/>
      <c r="H26" s="56"/>
      <c r="I26" s="56"/>
      <c r="J26" s="56"/>
      <c r="K26" s="80"/>
      <c r="L26" s="64"/>
      <c r="N26" s="145"/>
      <c r="O26" s="145"/>
      <c r="P26" s="145"/>
    </row>
    <row r="27" spans="2:19" ht="20.149999999999999" customHeight="1" x14ac:dyDescent="0.45">
      <c r="B27" s="29"/>
      <c r="C27" s="17"/>
      <c r="D27" s="487"/>
      <c r="E27" s="487"/>
      <c r="F27" s="487"/>
      <c r="G27" s="17"/>
      <c r="H27" s="56"/>
      <c r="I27" s="494"/>
      <c r="J27" s="494"/>
      <c r="K27" s="80"/>
      <c r="L27" s="64"/>
      <c r="N27" s="145"/>
      <c r="O27" s="145"/>
      <c r="P27" s="145"/>
    </row>
    <row r="28" spans="2:19" ht="20.149999999999999" customHeight="1" thickBot="1" x14ac:dyDescent="0.5">
      <c r="B28" s="32"/>
      <c r="C28" s="33"/>
      <c r="D28" s="488"/>
      <c r="E28" s="488"/>
      <c r="F28" s="488"/>
      <c r="G28" s="33"/>
      <c r="H28" s="57"/>
      <c r="I28" s="459"/>
      <c r="J28" s="459"/>
      <c r="K28" s="34"/>
      <c r="L28" s="35"/>
      <c r="N28" s="145"/>
      <c r="O28" s="145"/>
      <c r="P28" s="145"/>
    </row>
    <row r="29" spans="2:19" ht="20.149999999999999" customHeight="1" thickBot="1" x14ac:dyDescent="0.5">
      <c r="B29" s="36"/>
      <c r="L29" s="37"/>
      <c r="N29" s="145"/>
      <c r="O29" s="145"/>
      <c r="P29" s="145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SUM(L17:L29)</f>
        <v>847</v>
      </c>
      <c r="M30" s="63">
        <f>SUM(P18:P28)</f>
        <v>187</v>
      </c>
      <c r="N30" s="133">
        <f>M30/L30</f>
        <v>0.22077922077922077</v>
      </c>
      <c r="P30" s="133"/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847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76.23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923.23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 t="s">
        <v>439</v>
      </c>
    </row>
    <row r="36" spans="2:12" ht="20.149999999999999" customHeight="1" x14ac:dyDescent="0.45">
      <c r="B36" s="144" t="s">
        <v>666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J38" s="45"/>
      <c r="K38" s="45"/>
      <c r="L38" s="46"/>
    </row>
    <row r="39" spans="2:12" ht="20.149999999999999" customHeight="1" x14ac:dyDescent="0.45">
      <c r="B39" s="36"/>
      <c r="J39" s="19" t="s">
        <v>26</v>
      </c>
      <c r="L39" s="37"/>
    </row>
    <row r="40" spans="2:12" ht="20.149999999999999" customHeight="1" x14ac:dyDescent="0.45">
      <c r="B40" s="44"/>
      <c r="C40" s="45"/>
      <c r="D40" s="45"/>
      <c r="J40" s="19" t="s">
        <v>690</v>
      </c>
      <c r="L40" s="37"/>
    </row>
    <row r="41" spans="2:12" ht="20.149999999999999" customHeight="1" x14ac:dyDescent="0.45">
      <c r="B41" s="36" t="s">
        <v>25</v>
      </c>
      <c r="J41" s="19" t="s">
        <v>691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20.5" x14ac:dyDescent="0.45">
      <c r="F43" s="202"/>
    </row>
    <row r="190" spans="105:105" x14ac:dyDescent="0.45">
      <c r="DA190" s="191">
        <v>4.3</v>
      </c>
    </row>
    <row r="194" spans="105:105" x14ac:dyDescent="0.45">
      <c r="DA194" s="192">
        <f>2.9*5</f>
        <v>14.5</v>
      </c>
    </row>
    <row r="195" spans="105:105" x14ac:dyDescent="0.45">
      <c r="DA195" s="192">
        <f>2.9*2</f>
        <v>5.8</v>
      </c>
    </row>
    <row r="198" spans="105:105" x14ac:dyDescent="0.45">
      <c r="DA198" s="93"/>
    </row>
    <row r="199" spans="105:105" x14ac:dyDescent="0.45">
      <c r="DA199" s="93"/>
    </row>
    <row r="200" spans="105:105" x14ac:dyDescent="0.45">
      <c r="DA200" s="93">
        <f>DA198/60</f>
        <v>0</v>
      </c>
    </row>
    <row r="201" spans="105:105" x14ac:dyDescent="0.45">
      <c r="DA201" s="93">
        <v>100</v>
      </c>
    </row>
    <row r="202" spans="105:105" x14ac:dyDescent="0.45">
      <c r="DA202" s="93"/>
    </row>
  </sheetData>
  <mergeCells count="32">
    <mergeCell ref="D21:F21"/>
    <mergeCell ref="I21:J21"/>
    <mergeCell ref="J30:K30"/>
    <mergeCell ref="J32:K32"/>
    <mergeCell ref="J34:K34"/>
    <mergeCell ref="D22:F22"/>
    <mergeCell ref="I22:J22"/>
    <mergeCell ref="D27:F27"/>
    <mergeCell ref="I27:J27"/>
    <mergeCell ref="D28:F28"/>
    <mergeCell ref="I28:J28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23622047244094499" bottom="0.23622047244094499" header="0.31496062992126" footer="0.31496062992126"/>
  <pageSetup paperSize="9" scale="74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AD393-99F9-44E9-A962-FE47AC686BA8}">
  <sheetPr>
    <tabColor rgb="FFFFC000"/>
    <pageSetUpPr fitToPage="1"/>
  </sheetPr>
  <dimension ref="A1:R51"/>
  <sheetViews>
    <sheetView topLeftCell="A15" zoomScaleNormal="100" workbookViewId="0">
      <selection activeCell="D33" sqref="D33:F33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1" width="12.6328125" style="19" customWidth="1"/>
    <col min="12" max="12" width="13.453125" style="19" bestFit="1" customWidth="1"/>
    <col min="13" max="13" width="19.7265625" style="19" customWidth="1"/>
    <col min="14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398</v>
      </c>
      <c r="J10" s="24" t="s">
        <v>27</v>
      </c>
      <c r="K10" s="464">
        <v>202504237</v>
      </c>
      <c r="L10" s="465"/>
    </row>
    <row r="11" spans="2:12" ht="20.149999999999999" customHeight="1" x14ac:dyDescent="0.45">
      <c r="B11" s="466" t="s">
        <v>678</v>
      </c>
      <c r="C11" s="467"/>
      <c r="D11" s="468"/>
      <c r="E11" s="25"/>
      <c r="F11" s="469" t="str">
        <f>VLOOKUP(H10,'Delivery Location'!A$4:N$466,2,0)</f>
        <v>DRINK &amp; DESSERT STALL                                  Nex 23 Serangoon Central                               #04-16. Nex Shopping Mall. Singapore 556083</v>
      </c>
      <c r="G11" s="470"/>
      <c r="H11" s="471"/>
      <c r="J11" s="26" t="s">
        <v>9</v>
      </c>
      <c r="K11" s="478">
        <v>45756</v>
      </c>
      <c r="L11" s="479"/>
    </row>
    <row r="12" spans="2:12" ht="20.149999999999999" customHeight="1" x14ac:dyDescent="0.45">
      <c r="B12" s="480" t="s">
        <v>524</v>
      </c>
      <c r="C12" s="453"/>
      <c r="D12" s="481"/>
      <c r="E12" s="25"/>
      <c r="F12" s="472"/>
      <c r="G12" s="473"/>
      <c r="H12" s="474"/>
      <c r="J12" s="26" t="s">
        <v>127</v>
      </c>
      <c r="K12" s="482"/>
      <c r="L12" s="483"/>
    </row>
    <row r="13" spans="2:12" ht="20.149999999999999" customHeight="1" x14ac:dyDescent="0.45">
      <c r="B13" s="480" t="s">
        <v>525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609</v>
      </c>
      <c r="L13" s="483"/>
    </row>
    <row r="14" spans="2:12" ht="20.149999999999999" customHeight="1" x14ac:dyDescent="0.45">
      <c r="B14" s="480" t="s">
        <v>526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18" t="s">
        <v>527</v>
      </c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1:18" ht="20.149999999999999" customHeight="1" x14ac:dyDescent="0.45">
      <c r="A18" s="65"/>
      <c r="B18" s="58">
        <v>520699</v>
      </c>
      <c r="C18" s="212" t="str">
        <f>VLOOKUP(B18,'Sales Master'!A$3:B$531,2,0)</f>
        <v>M1013</v>
      </c>
      <c r="D18" s="487" t="str">
        <f>VLOOKUP(C18,'Sales Master'!B$3:D$537,2,)</f>
        <v>Bobo ChaCha Cubes 摩摩喳喳</v>
      </c>
      <c r="E18" s="487"/>
      <c r="F18" s="487"/>
      <c r="G18" s="76">
        <v>3</v>
      </c>
      <c r="H18" s="247" t="str">
        <f>VLOOKUP(C18,'Sales Master'!$B$3:$F$2420,5,0)</f>
        <v>800 GM/ Bag包</v>
      </c>
      <c r="I18" s="513" t="str">
        <f>VLOOKUP(C18,'Sales Master'!$B$3:$E$2420,4,0)</f>
        <v>DO!</v>
      </c>
      <c r="J18" s="513"/>
      <c r="K18" s="83">
        <f>VLOOKUP(C18,'Sales Master'!B$3:I$537,8,0)</f>
        <v>7</v>
      </c>
      <c r="L18" s="84">
        <f t="shared" ref="L18" si="0">K18*G18</f>
        <v>21</v>
      </c>
      <c r="N18" s="145">
        <f>VLOOKUP(C18,'Sales Master'!$B$3:$DA$2279,104,0)</f>
        <v>0.89</v>
      </c>
      <c r="O18" s="145">
        <f t="shared" ref="O18" si="1">K18-N18</f>
        <v>6.11</v>
      </c>
      <c r="P18" s="145">
        <f t="shared" ref="P18" si="2">O18*G18</f>
        <v>18.330000000000002</v>
      </c>
      <c r="Q18" s="63"/>
      <c r="R18" s="63">
        <f>N18*G18*0.07</f>
        <v>0.18690000000000001</v>
      </c>
    </row>
    <row r="19" spans="1:18" ht="20.149999999999999" customHeight="1" x14ac:dyDescent="0.45">
      <c r="A19" s="65"/>
      <c r="B19" s="58">
        <v>520695</v>
      </c>
      <c r="C19" s="212" t="str">
        <f>VLOOKUP(B19,'Sales Master'!A$3:B$531,2,0)</f>
        <v>P3001B</v>
      </c>
      <c r="D19" s="487" t="str">
        <f>VLOOKUP(C19,'Sales Master'!B$3:D$537,2,)</f>
        <v>Atap Seeds in Syrup 亚嗒子</v>
      </c>
      <c r="E19" s="487"/>
      <c r="F19" s="487"/>
      <c r="G19" s="76">
        <v>3</v>
      </c>
      <c r="H19" s="247" t="str">
        <f>VLOOKUP(C19,'Sales Master'!$B$3:$F$2420,5,0)</f>
        <v>NW(1.6:0.6) 2.2kg/ Bag包</v>
      </c>
      <c r="I19" s="513" t="str">
        <f>VLOOKUP(C19,'Sales Master'!$B$3:$E$2420,4,0)</f>
        <v>DO!</v>
      </c>
      <c r="J19" s="513"/>
      <c r="K19" s="83">
        <f>VLOOKUP(C19,'Sales Master'!B$3:I$537,8,0)</f>
        <v>10</v>
      </c>
      <c r="L19" s="84">
        <f>K19*G19</f>
        <v>30</v>
      </c>
      <c r="N19" s="145">
        <f>VLOOKUP(C19,'Sales Master'!$B$3:$DA$2279,104,0)</f>
        <v>7.3</v>
      </c>
      <c r="O19" s="145">
        <f>K19-N19</f>
        <v>2.7</v>
      </c>
      <c r="P19" s="145">
        <f>O19*G19</f>
        <v>8.1000000000000014</v>
      </c>
      <c r="Q19" s="63"/>
      <c r="R19" s="63"/>
    </row>
    <row r="20" spans="1:18" ht="20.149999999999999" customHeight="1" x14ac:dyDescent="0.45">
      <c r="A20" s="65"/>
      <c r="B20" s="58">
        <v>520738</v>
      </c>
      <c r="C20" s="212" t="str">
        <f>VLOOKUP(B20,'Sales Master'!A$3:B$531,2,0)</f>
        <v>P3005A</v>
      </c>
      <c r="D20" s="487" t="str">
        <f>VLOOKUP(C20,'Sales Master'!B$3:D$537,2,)</f>
        <v>Red Bean 红豆 (5.5 mm)</v>
      </c>
      <c r="E20" s="487"/>
      <c r="F20" s="487"/>
      <c r="G20" s="76">
        <v>3</v>
      </c>
      <c r="H20" s="247" t="str">
        <f>VLOOKUP(C20,'Sales Master'!$B$3:$F$2420,5,0)</f>
        <v>5 KG</v>
      </c>
      <c r="I20" s="513" t="str">
        <f>VLOOKUP(C20,'Sales Master'!$B$3:$E$2420,4,0)</f>
        <v>-</v>
      </c>
      <c r="J20" s="513"/>
      <c r="K20" s="83">
        <f>VLOOKUP(C20,'Sales Master'!B$3:I$537,8,0)</f>
        <v>17.5</v>
      </c>
      <c r="L20" s="84">
        <f t="shared" ref="L20:L24" si="3">K20*G20</f>
        <v>52.5</v>
      </c>
      <c r="N20" s="145">
        <f>VLOOKUP(C20,'Sales Master'!$B$3:$DA$2279,104,0)</f>
        <v>12.5</v>
      </c>
      <c r="O20" s="145">
        <f t="shared" ref="O20:O24" si="4">K20-N20</f>
        <v>5</v>
      </c>
      <c r="P20" s="145">
        <f t="shared" ref="P20:P24" si="5">O20*G20</f>
        <v>15</v>
      </c>
      <c r="Q20" s="63"/>
      <c r="R20" s="63"/>
    </row>
    <row r="21" spans="1:18" ht="20.149999999999999" customHeight="1" x14ac:dyDescent="0.45">
      <c r="A21" s="65"/>
      <c r="B21" s="58">
        <v>520724</v>
      </c>
      <c r="C21" s="212" t="str">
        <f>VLOOKUP(B21,'Sales Master'!A$3:B$531,2,0)</f>
        <v>P3009A</v>
      </c>
      <c r="D21" s="487" t="str">
        <f>VLOOKUP(C21,'Sales Master'!B$3:D$537,2,)</f>
        <v>Green Bean 绿豆</v>
      </c>
      <c r="E21" s="487"/>
      <c r="F21" s="487"/>
      <c r="G21" s="76">
        <v>2</v>
      </c>
      <c r="H21" s="247" t="str">
        <f>VLOOKUP(C21,'Sales Master'!$B$3:$F$2420,5,0)</f>
        <v>5 KG</v>
      </c>
      <c r="I21" s="513" t="str">
        <f>VLOOKUP(C21,'Sales Master'!$B$3:$E$2420,4,0)</f>
        <v>-</v>
      </c>
      <c r="J21" s="513"/>
      <c r="K21" s="83">
        <f>VLOOKUP(C21,'Sales Master'!B$3:I$537,8,0)</f>
        <v>13</v>
      </c>
      <c r="L21" s="84">
        <f t="shared" si="3"/>
        <v>26</v>
      </c>
      <c r="N21" s="145">
        <f>VLOOKUP(C21,'Sales Master'!$B$3:$DA$2279,104,0)</f>
        <v>8.75</v>
      </c>
      <c r="O21" s="145">
        <f t="shared" si="4"/>
        <v>4.25</v>
      </c>
      <c r="P21" s="145">
        <f t="shared" si="5"/>
        <v>8.5</v>
      </c>
      <c r="Q21" s="63"/>
      <c r="R21" s="63"/>
    </row>
    <row r="22" spans="1:18" ht="20.149999999999999" customHeight="1" x14ac:dyDescent="0.45">
      <c r="A22" s="65"/>
      <c r="B22" s="58">
        <v>520698</v>
      </c>
      <c r="C22" s="212" t="str">
        <f>VLOOKUP(B22,'Sales Master'!A$3:B$531,2,0)</f>
        <v>P3013A</v>
      </c>
      <c r="D22" s="487" t="str">
        <f>VLOOKUP(C22,'Sales Master'!B$3:D$537,2,)</f>
        <v>Black Glutinous Rice 黑糯米</v>
      </c>
      <c r="E22" s="487"/>
      <c r="F22" s="487"/>
      <c r="G22" s="76">
        <v>1</v>
      </c>
      <c r="H22" s="247" t="str">
        <f>VLOOKUP(C22,'Sales Master'!$B$3:$F$2420,5,0)</f>
        <v>5 KGS</v>
      </c>
      <c r="I22" s="513" t="str">
        <f>VLOOKUP(C22,'Sales Master'!$B$3:$E$2420,4,0)</f>
        <v>-</v>
      </c>
      <c r="J22" s="513"/>
      <c r="K22" s="83">
        <f>VLOOKUP(C22,'Sales Master'!B$3:I$537,8,0)</f>
        <v>18</v>
      </c>
      <c r="L22" s="84">
        <f>K22*G22</f>
        <v>18</v>
      </c>
      <c r="N22" s="145">
        <f>VLOOKUP(C22,'Sales Master'!$B$3:$DA$2279,104,0)</f>
        <v>12</v>
      </c>
      <c r="O22" s="145">
        <f>K22-N22</f>
        <v>6</v>
      </c>
      <c r="P22" s="145">
        <f>O22*G22</f>
        <v>6</v>
      </c>
      <c r="Q22" s="63"/>
      <c r="R22" s="63"/>
    </row>
    <row r="23" spans="1:18" ht="20.149999999999999" customHeight="1" x14ac:dyDescent="0.45">
      <c r="A23" s="65"/>
      <c r="B23" s="58">
        <v>520787</v>
      </c>
      <c r="C23" s="212" t="str">
        <f>VLOOKUP(B23,'Sales Master'!A$3:B$531,2,0)</f>
        <v>P3014A</v>
      </c>
      <c r="D23" s="487" t="str">
        <f>VLOOKUP(C23,'Sales Master'!B$3:D$537,2,)</f>
        <v>White Glutinous Rice 白糯米</v>
      </c>
      <c r="E23" s="487"/>
      <c r="F23" s="487"/>
      <c r="G23" s="76">
        <v>1</v>
      </c>
      <c r="H23" s="247" t="str">
        <f>VLOOKUP(C23,'Sales Master'!$B$3:$F$2420,5,0)</f>
        <v>5 KG</v>
      </c>
      <c r="I23" s="513" t="str">
        <f>VLOOKUP(C23,'Sales Master'!$B$3:$E$2420,4,0)</f>
        <v>-</v>
      </c>
      <c r="J23" s="513"/>
      <c r="K23" s="83">
        <f>VLOOKUP(C23,'Sales Master'!B$3:I$537,8,0)</f>
        <v>11</v>
      </c>
      <c r="L23" s="84">
        <f>K23*G23</f>
        <v>11</v>
      </c>
      <c r="N23" s="145">
        <f>VLOOKUP(C23,'Sales Master'!$B$3:$DA$2279,104,0)</f>
        <v>6</v>
      </c>
      <c r="O23" s="145">
        <f>K23-N23</f>
        <v>5</v>
      </c>
      <c r="P23" s="145">
        <f>O23*G23</f>
        <v>5</v>
      </c>
      <c r="Q23" s="63"/>
      <c r="R23" s="63"/>
    </row>
    <row r="24" spans="1:18" ht="20.149999999999999" customHeight="1" x14ac:dyDescent="0.45">
      <c r="A24" s="65"/>
      <c r="B24" s="58">
        <v>520696</v>
      </c>
      <c r="C24" s="212" t="str">
        <f>VLOOKUP(B24,'Sales Master'!A$3:B$531,2,0)</f>
        <v>P3016A</v>
      </c>
      <c r="D24" s="487" t="str">
        <f>VLOOKUP(C24,'Sales Master'!B$3:D$537,2,)</f>
        <v>Pearl Barley 薏米</v>
      </c>
      <c r="E24" s="487"/>
      <c r="F24" s="487"/>
      <c r="G24" s="76">
        <v>2</v>
      </c>
      <c r="H24" s="247" t="str">
        <f>VLOOKUP(C24,'Sales Master'!$B$3:$F$2420,5,0)</f>
        <v>5 KG</v>
      </c>
      <c r="I24" s="513" t="str">
        <f>VLOOKUP(C24,'Sales Master'!$B$3:$E$2420,4,0)</f>
        <v>-</v>
      </c>
      <c r="J24" s="513"/>
      <c r="K24" s="83">
        <f>VLOOKUP(C24,'Sales Master'!B$3:I$537,8,0)</f>
        <v>10</v>
      </c>
      <c r="L24" s="84">
        <f t="shared" si="3"/>
        <v>20</v>
      </c>
      <c r="N24" s="145">
        <f>VLOOKUP(C24,'Sales Master'!$B$3:$DA$2279,104,0)</f>
        <v>7.6</v>
      </c>
      <c r="O24" s="145">
        <f t="shared" si="4"/>
        <v>2.4000000000000004</v>
      </c>
      <c r="P24" s="145">
        <f t="shared" si="5"/>
        <v>4.8000000000000007</v>
      </c>
      <c r="Q24" s="63"/>
      <c r="R24" s="63"/>
    </row>
    <row r="25" spans="1:18" ht="20.149999999999999" customHeight="1" x14ac:dyDescent="0.45">
      <c r="A25" s="65"/>
      <c r="B25" s="58">
        <v>520714</v>
      </c>
      <c r="C25" s="212" t="str">
        <f>VLOOKUP(B25,'Sales Master'!A$3:B$531,2,0)</f>
        <v>P3019A</v>
      </c>
      <c r="D25" s="487" t="str">
        <f>VLOOKUP(C25,'Sales Master'!B$3:D$537,2,)</f>
        <v>Dried Longan 龙眼干</v>
      </c>
      <c r="E25" s="487"/>
      <c r="F25" s="487"/>
      <c r="G25" s="76">
        <v>2</v>
      </c>
      <c r="H25" s="247" t="str">
        <f>VLOOKUP(C25,'Sales Master'!$B$3:$F$2420,5,0)</f>
        <v>1 kg/ Pkt包</v>
      </c>
      <c r="I25" s="513" t="str">
        <f>VLOOKUP(C25,'Sales Master'!$B$3:$E$2420,4,0)</f>
        <v>TL</v>
      </c>
      <c r="J25" s="513"/>
      <c r="K25" s="83">
        <f>VLOOKUP(C25,'Sales Master'!B$3:I$537,8,0)</f>
        <v>15</v>
      </c>
      <c r="L25" s="84">
        <f>K25*G25</f>
        <v>30</v>
      </c>
      <c r="N25" s="145">
        <f>VLOOKUP(C25,'Sales Master'!$B$3:$DA$2279,104,0)</f>
        <v>8.8000000000000007</v>
      </c>
      <c r="O25" s="145">
        <f>K25-N25</f>
        <v>6.1999999999999993</v>
      </c>
      <c r="P25" s="145">
        <f>O25*G25</f>
        <v>12.399999999999999</v>
      </c>
      <c r="Q25" s="63"/>
      <c r="R25" s="63"/>
    </row>
    <row r="26" spans="1:18" ht="20.149999999999999" customHeight="1" x14ac:dyDescent="0.45">
      <c r="A26" s="65"/>
      <c r="B26" s="58">
        <v>520728</v>
      </c>
      <c r="C26" s="212" t="str">
        <f>VLOOKUP(B26,'Sales Master'!A$3:B$531,2,0)</f>
        <v>P4010</v>
      </c>
      <c r="D26" s="487" t="str">
        <f>VLOOKUP(C26,'Sales Master'!B$3:D$537,2,)</f>
        <v>Lychee in Syrup 荔枝</v>
      </c>
      <c r="E26" s="487"/>
      <c r="F26" s="487"/>
      <c r="G26" s="76">
        <v>1</v>
      </c>
      <c r="H26" s="247" t="str">
        <f>VLOOKUP(C26,'Sales Master'!$B$3:$F$2420,5,0)</f>
        <v>12can/箱</v>
      </c>
      <c r="I26" s="513" t="str">
        <f>VLOOKUP(C26,'Sales Master'!$B$3:$E$2420,4,0)</f>
        <v>MiLi</v>
      </c>
      <c r="J26" s="513"/>
      <c r="K26" s="83">
        <f>VLOOKUP(C26,'Sales Master'!B$3:I$537,8,0)</f>
        <v>26.5</v>
      </c>
      <c r="L26" s="84">
        <f t="shared" ref="L26" si="6">K26*G26</f>
        <v>26.5</v>
      </c>
      <c r="N26" s="145">
        <f>VLOOKUP(C26,'Sales Master'!$B$3:$DA$2279,104,0)</f>
        <v>20</v>
      </c>
      <c r="O26" s="145">
        <f t="shared" ref="O26" si="7">K26-N26</f>
        <v>6.5</v>
      </c>
      <c r="P26" s="145">
        <f t="shared" ref="P26" si="8">O26*G26</f>
        <v>6.5</v>
      </c>
      <c r="Q26" s="63"/>
      <c r="R26" s="63"/>
    </row>
    <row r="27" spans="1:18" ht="20.149999999999999" customHeight="1" x14ac:dyDescent="0.45">
      <c r="A27" s="65"/>
      <c r="B27" s="58">
        <v>520700</v>
      </c>
      <c r="C27" s="212" t="str">
        <f>VLOOKUP(B27,'Sales Master'!A$3:B$531,2,0)</f>
        <v>P5002A</v>
      </c>
      <c r="D27" s="487" t="str">
        <f>VLOOKUP(C27,'Sales Master'!B$3:D$537,2,)</f>
        <v>Brown Sugar 黑糖</v>
      </c>
      <c r="E27" s="487"/>
      <c r="F27" s="487"/>
      <c r="G27" s="76">
        <v>2</v>
      </c>
      <c r="H27" s="247" t="str">
        <f>VLOOKUP(C27,'Sales Master'!$B$3:$F$2420,5,0)</f>
        <v>6 KG</v>
      </c>
      <c r="I27" s="513" t="str">
        <f>VLOOKUP(C27,'Sales Master'!$B$3:$E$2420,4,0)</f>
        <v>Star</v>
      </c>
      <c r="J27" s="513"/>
      <c r="K27" s="83">
        <f>VLOOKUP(C27,'Sales Master'!B$3:I$537,8,0)</f>
        <v>17</v>
      </c>
      <c r="L27" s="84">
        <f>K27*G27</f>
        <v>34</v>
      </c>
      <c r="N27" s="145">
        <f>VLOOKUP(C27,'Sales Master'!$B$3:$DA$2279,104,0)</f>
        <v>12.5</v>
      </c>
      <c r="O27" s="145">
        <f>K27-N27</f>
        <v>4.5</v>
      </c>
      <c r="P27" s="145">
        <f>O27*G27</f>
        <v>9</v>
      </c>
      <c r="Q27" s="63"/>
      <c r="R27" s="63"/>
    </row>
    <row r="28" spans="1:18" ht="20.149999999999999" customHeight="1" x14ac:dyDescent="0.45">
      <c r="A28" s="65"/>
      <c r="B28" s="58">
        <v>520706</v>
      </c>
      <c r="C28" s="212" t="str">
        <f>VLOOKUP(B28,'Sales Master'!A$3:B$531,2,0)</f>
        <v>P5008</v>
      </c>
      <c r="D28" s="487" t="str">
        <f>VLOOKUP(C28,'Sales Master'!B$3:D$537,2,)</f>
        <v>Coconut Sugar 椰糖</v>
      </c>
      <c r="E28" s="487"/>
      <c r="F28" s="487"/>
      <c r="G28" s="76">
        <v>2</v>
      </c>
      <c r="H28" s="247" t="str">
        <f>VLOOKUP(C28,'Sales Master'!$B$3:$F$2420,5,0)</f>
        <v>10 KG/ ctn</v>
      </c>
      <c r="I28" s="513" t="str">
        <f>VLOOKUP(C28,'Sales Master'!$B$3:$E$2420,4,0)</f>
        <v>BL BRAND</v>
      </c>
      <c r="J28" s="513"/>
      <c r="K28" s="83">
        <f>VLOOKUP(C28,'Sales Master'!B$3:I$537,8,0)</f>
        <v>35</v>
      </c>
      <c r="L28" s="84">
        <f>K28*G28</f>
        <v>70</v>
      </c>
      <c r="N28" s="145">
        <f>VLOOKUP(C28,'Sales Master'!$B$3:$DA$2279,104,0)</f>
        <v>28</v>
      </c>
      <c r="O28" s="145">
        <f>K28-N28</f>
        <v>7</v>
      </c>
      <c r="P28" s="145">
        <f>O28*G28</f>
        <v>14</v>
      </c>
      <c r="Q28" s="63"/>
      <c r="R28" s="63"/>
    </row>
    <row r="29" spans="1:18" ht="20.149999999999999" customHeight="1" x14ac:dyDescent="0.45">
      <c r="A29" s="65"/>
      <c r="B29" s="58">
        <v>520733</v>
      </c>
      <c r="C29" s="212" t="str">
        <f>VLOOKUP(B29,'Sales Master'!A$3:B$531,2,0)</f>
        <v>P6002A</v>
      </c>
      <c r="D29" s="487" t="str">
        <f>VLOOKUP(C29,'Sales Master'!B$3:D$537,2,)</f>
        <v>Skinless Sweet Potato 去皮番薯</v>
      </c>
      <c r="E29" s="487"/>
      <c r="F29" s="487"/>
      <c r="G29" s="76">
        <v>2</v>
      </c>
      <c r="H29" s="247" t="str">
        <f>VLOOKUP(C29,'Sales Master'!$B$3:$F$2420,5,0)</f>
        <v>5 KG</v>
      </c>
      <c r="I29" s="513" t="str">
        <f>VLOOKUP(C29,'Sales Master'!$B$3:$E$2420,4,0)</f>
        <v>Malaysia</v>
      </c>
      <c r="J29" s="513"/>
      <c r="K29" s="83">
        <f>VLOOKUP(C29,'Sales Master'!B$3:I$537,8,0)</f>
        <v>18</v>
      </c>
      <c r="L29" s="84">
        <f t="shared" ref="L29" si="9">K29*G29</f>
        <v>36</v>
      </c>
      <c r="N29" s="145">
        <f>VLOOKUP(C29,'Sales Master'!$B$3:$DA$2279,104,0)</f>
        <v>9</v>
      </c>
      <c r="O29" s="145">
        <f t="shared" ref="O29" si="10">K29-N29</f>
        <v>9</v>
      </c>
      <c r="P29" s="145">
        <f t="shared" ref="P29" si="11">O29*G29</f>
        <v>18</v>
      </c>
      <c r="Q29" s="63"/>
      <c r="R29" s="63"/>
    </row>
    <row r="30" spans="1:18" ht="20.149999999999999" customHeight="1" x14ac:dyDescent="0.45">
      <c r="A30" s="65"/>
      <c r="B30" s="58">
        <v>520731</v>
      </c>
      <c r="C30" s="212" t="str">
        <f>VLOOKUP(B30,'Sales Master'!A$3:B$531,2,0)</f>
        <v>P6007</v>
      </c>
      <c r="D30" s="487" t="str">
        <f>VLOOKUP(C30,'Sales Master'!B$3:D$537,2,)</f>
        <v>Pandan Leaf 班兰叶</v>
      </c>
      <c r="E30" s="487"/>
      <c r="F30" s="487"/>
      <c r="G30" s="76">
        <v>2</v>
      </c>
      <c r="H30" s="247" t="str">
        <f>VLOOKUP(C30,'Sales Master'!$B$3:$F$2420,5,0)</f>
        <v>1 KG</v>
      </c>
      <c r="I30" s="513" t="str">
        <f>VLOOKUP(C30,'Sales Master'!$B$3:$E$2420,4,0)</f>
        <v>-</v>
      </c>
      <c r="J30" s="513"/>
      <c r="K30" s="83">
        <f>VLOOKUP(C30,'Sales Master'!B$3:I$537,8,0)</f>
        <v>1.8</v>
      </c>
      <c r="L30" s="84">
        <f>K30*G30</f>
        <v>3.6</v>
      </c>
      <c r="N30" s="145">
        <f>VLOOKUP(C30,'Sales Master'!$B$3:$DA$2279,104,0)</f>
        <v>1.1000000000000001</v>
      </c>
      <c r="O30" s="145">
        <f>K30-N30</f>
        <v>0.7</v>
      </c>
      <c r="P30" s="145">
        <f>O30*G30</f>
        <v>1.4</v>
      </c>
      <c r="Q30" s="63"/>
      <c r="R30" s="63"/>
    </row>
    <row r="31" spans="1:18" ht="20.149999999999999" customHeight="1" x14ac:dyDescent="0.45">
      <c r="A31" s="65"/>
      <c r="B31" s="58">
        <v>520792</v>
      </c>
      <c r="C31" s="212" t="str">
        <f>VLOOKUP(B31,'Sales Master'!A$3:B$531,2,0)</f>
        <v>P6014</v>
      </c>
      <c r="D31" s="487" t="str">
        <f>VLOOKUP(C31,'Sales Master'!B$3:D$537,2,)</f>
        <v>Yu Tiao 油条</v>
      </c>
      <c r="E31" s="487"/>
      <c r="F31" s="487"/>
      <c r="G31" s="76">
        <v>4</v>
      </c>
      <c r="H31" s="247" t="str">
        <f>VLOOKUP(C31,'Sales Master'!$B$3:$F$2420,5,0)</f>
        <v>10 PCS/PKT</v>
      </c>
      <c r="I31" s="513" t="str">
        <f>VLOOKUP(C31,'Sales Master'!$B$3:$E$2420,4,0)</f>
        <v>-</v>
      </c>
      <c r="J31" s="513"/>
      <c r="K31" s="83">
        <f>VLOOKUP(C31,'Sales Master'!B$3:I$537,8,0)</f>
        <v>5.5</v>
      </c>
      <c r="L31" s="84">
        <f>K31*G31</f>
        <v>22</v>
      </c>
      <c r="N31" s="145">
        <f>VLOOKUP(C31,'Sales Master'!$B$3:$DA$2279,104,0)</f>
        <v>0.45</v>
      </c>
      <c r="O31" s="145">
        <f>K31-N31</f>
        <v>5.05</v>
      </c>
      <c r="P31" s="145">
        <f>O31*G31</f>
        <v>20.2</v>
      </c>
      <c r="Q31" s="63"/>
      <c r="R31" s="63"/>
    </row>
    <row r="32" spans="1:18" ht="20.149999999999999" customHeight="1" x14ac:dyDescent="0.45">
      <c r="A32" s="65"/>
      <c r="B32" s="58">
        <v>520740</v>
      </c>
      <c r="C32" s="212" t="str">
        <f>VLOOKUP(B32,'Sales Master'!A$3:B$531,2,0)</f>
        <v>M1037A</v>
      </c>
      <c r="D32" s="487" t="str">
        <f>VLOOKUP(C32,'Sales Master'!B$3:D$537,2,)</f>
        <v>Rock Sugar Syrup 冰糖浆</v>
      </c>
      <c r="E32" s="487"/>
      <c r="F32" s="487"/>
      <c r="G32" s="76">
        <v>4</v>
      </c>
      <c r="H32" s="247" t="str">
        <f>VLOOKUP(C32,'Sales Master'!$B$3:$F$2420,5,0)</f>
        <v>5 KG</v>
      </c>
      <c r="I32" s="513" t="str">
        <f>VLOOKUP(C32,'Sales Master'!$B$3:$E$2420,4,0)</f>
        <v>DO!</v>
      </c>
      <c r="J32" s="513"/>
      <c r="K32" s="83">
        <f>VLOOKUP(C32,'Sales Master'!B$3:I$537,8,0)</f>
        <v>11</v>
      </c>
      <c r="L32" s="84">
        <f t="shared" ref="L32" si="12">K32*G32</f>
        <v>44</v>
      </c>
      <c r="N32" s="145">
        <f>VLOOKUP(C32,'Sales Master'!$B$3:$DA$2279,104,0)</f>
        <v>5.86</v>
      </c>
      <c r="O32" s="145">
        <f t="shared" ref="O32" si="13">K32-N32</f>
        <v>5.14</v>
      </c>
      <c r="P32" s="145">
        <f t="shared" ref="P32" si="14">O32*G32</f>
        <v>20.56</v>
      </c>
      <c r="Q32" s="63"/>
      <c r="R32" s="63"/>
    </row>
    <row r="33" spans="1:18" ht="20.149999999999999" customHeight="1" x14ac:dyDescent="0.45">
      <c r="A33" s="65"/>
      <c r="B33" s="243"/>
      <c r="C33" s="212"/>
      <c r="D33" s="487"/>
      <c r="E33" s="487"/>
      <c r="F33" s="487"/>
      <c r="G33" s="76"/>
      <c r="H33" s="247"/>
      <c r="I33" s="513"/>
      <c r="J33" s="513"/>
      <c r="K33" s="83"/>
      <c r="L33" s="84"/>
      <c r="N33" s="145"/>
      <c r="O33" s="145"/>
      <c r="P33" s="145"/>
      <c r="Q33" s="63"/>
      <c r="R33" s="63"/>
    </row>
    <row r="34" spans="1:18" ht="20.149999999999999" customHeight="1" x14ac:dyDescent="0.45">
      <c r="A34" s="65"/>
      <c r="B34" s="243"/>
      <c r="C34" s="212"/>
      <c r="G34" s="76"/>
      <c r="H34" s="247"/>
      <c r="I34" s="209"/>
      <c r="J34" s="209"/>
      <c r="K34" s="83"/>
      <c r="L34" s="84"/>
      <c r="N34" s="145"/>
      <c r="O34" s="145"/>
      <c r="P34" s="145"/>
      <c r="Q34" s="63"/>
      <c r="R34" s="63"/>
    </row>
    <row r="35" spans="1:18" ht="20.149999999999999" customHeight="1" x14ac:dyDescent="0.45">
      <c r="A35" s="65"/>
      <c r="B35" s="139"/>
      <c r="C35" s="129"/>
      <c r="D35" s="140"/>
      <c r="E35" s="140"/>
      <c r="F35" s="140"/>
      <c r="G35" s="129"/>
      <c r="H35" s="138"/>
      <c r="I35" s="517"/>
      <c r="J35" s="517"/>
      <c r="K35" s="95"/>
      <c r="L35" s="98"/>
      <c r="M35" s="63"/>
      <c r="N35" s="63"/>
      <c r="Q35" s="63"/>
    </row>
    <row r="36" spans="1:18" ht="20.149999999999999" customHeight="1" thickBot="1" x14ac:dyDescent="0.5">
      <c r="A36" s="65"/>
      <c r="B36" s="141"/>
      <c r="C36" s="76"/>
      <c r="D36" s="65"/>
      <c r="E36" s="65"/>
      <c r="F36" s="65"/>
      <c r="G36" s="76"/>
      <c r="H36" s="82"/>
      <c r="I36" s="76"/>
      <c r="J36" s="76"/>
      <c r="K36" s="83"/>
      <c r="L36" s="84"/>
    </row>
    <row r="37" spans="1:18" ht="20.149999999999999" customHeight="1" x14ac:dyDescent="0.45">
      <c r="A37" s="65"/>
      <c r="B37" s="142" t="s">
        <v>16</v>
      </c>
      <c r="C37" s="135"/>
      <c r="D37" s="135"/>
      <c r="E37" s="135"/>
      <c r="F37" s="135"/>
      <c r="G37" s="135"/>
      <c r="H37" s="135"/>
      <c r="I37" s="135"/>
      <c r="J37" s="515" t="s">
        <v>13</v>
      </c>
      <c r="K37" s="516"/>
      <c r="L37" s="143">
        <f>SUM(L18:L36)</f>
        <v>444.6</v>
      </c>
      <c r="M37" s="63">
        <f>SUM(P18:P36)</f>
        <v>167.79</v>
      </c>
      <c r="N37" s="133">
        <f>M37/L37</f>
        <v>0.37739541160593787</v>
      </c>
      <c r="Q37" s="133"/>
    </row>
    <row r="38" spans="1:18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v>0</v>
      </c>
      <c r="M38" s="63"/>
    </row>
    <row r="39" spans="1:18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91" t="s">
        <v>19</v>
      </c>
      <c r="K39" s="492"/>
      <c r="L39" s="41">
        <f>L37-L38</f>
        <v>444.6</v>
      </c>
    </row>
    <row r="40" spans="1:18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40.014000000000003</v>
      </c>
    </row>
    <row r="41" spans="1:18" ht="20.149999999999999" customHeight="1" thickBot="1" x14ac:dyDescent="0.5">
      <c r="B41" s="10" t="s">
        <v>676</v>
      </c>
      <c r="C41" s="6"/>
      <c r="D41" s="6"/>
      <c r="E41" s="6"/>
      <c r="F41" s="6"/>
      <c r="G41" s="6"/>
      <c r="H41" s="6"/>
      <c r="I41" s="6"/>
      <c r="J41" s="485" t="s">
        <v>21</v>
      </c>
      <c r="K41" s="486"/>
      <c r="L41" s="43">
        <f>L39+L40</f>
        <v>484.61400000000003</v>
      </c>
    </row>
    <row r="42" spans="1:18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1:18" ht="18" customHeight="1" x14ac:dyDescent="0.45">
      <c r="B43" s="144" t="s">
        <v>666</v>
      </c>
      <c r="L43" s="37"/>
    </row>
    <row r="44" spans="1:18" ht="18" customHeight="1" x14ac:dyDescent="0.45">
      <c r="B44" s="36"/>
      <c r="L44" s="37"/>
      <c r="N44" s="176">
        <v>44641</v>
      </c>
      <c r="O44" s="19">
        <v>287.5</v>
      </c>
      <c r="P44" s="19">
        <v>54.36</v>
      </c>
      <c r="Q44" s="133">
        <f>P44/O44</f>
        <v>0.18907826086956522</v>
      </c>
    </row>
    <row r="45" spans="1:18" ht="18" customHeight="1" x14ac:dyDescent="0.45">
      <c r="B45" s="36"/>
      <c r="L45" s="37"/>
      <c r="N45" s="176"/>
      <c r="Q45" s="133"/>
    </row>
    <row r="46" spans="1:18" ht="18" customHeight="1" x14ac:dyDescent="0.45">
      <c r="B46" s="36"/>
      <c r="L46" s="37"/>
      <c r="N46" s="176"/>
      <c r="Q46" s="133"/>
    </row>
    <row r="47" spans="1:18" ht="18" customHeight="1" x14ac:dyDescent="0.45">
      <c r="B47" s="36"/>
      <c r="L47" s="37"/>
      <c r="N47" s="176"/>
      <c r="Q47" s="133"/>
    </row>
    <row r="48" spans="1:18" ht="18" customHeight="1" x14ac:dyDescent="0.45">
      <c r="B48" s="44"/>
      <c r="C48" s="45"/>
      <c r="D48" s="45"/>
      <c r="J48" s="45"/>
      <c r="K48" s="45"/>
      <c r="L48" s="46"/>
    </row>
    <row r="49" spans="2:12" ht="20.149999999999999" customHeight="1" x14ac:dyDescent="0.45">
      <c r="B49" s="36" t="s">
        <v>25</v>
      </c>
      <c r="J49" s="19" t="s">
        <v>26</v>
      </c>
      <c r="L49" s="37"/>
    </row>
    <row r="50" spans="2:12" ht="19" thickBot="1" x14ac:dyDescent="0.5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9"/>
    </row>
    <row r="51" spans="2:12" ht="20.5" x14ac:dyDescent="0.45">
      <c r="F51" s="201"/>
    </row>
  </sheetData>
  <mergeCells count="5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D32:F32"/>
    <mergeCell ref="I32:J32"/>
    <mergeCell ref="I25:J25"/>
    <mergeCell ref="D25:F25"/>
    <mergeCell ref="D28:F28"/>
    <mergeCell ref="I17:J17"/>
    <mergeCell ref="I21:J21"/>
    <mergeCell ref="D18:F18"/>
    <mergeCell ref="I18:J18"/>
    <mergeCell ref="I27:J27"/>
    <mergeCell ref="I26:J26"/>
    <mergeCell ref="D27:F27"/>
    <mergeCell ref="D26:F26"/>
    <mergeCell ref="I28:J28"/>
    <mergeCell ref="D31:F31"/>
    <mergeCell ref="J41:K41"/>
    <mergeCell ref="I30:J30"/>
    <mergeCell ref="I19:J19"/>
    <mergeCell ref="D30:F30"/>
    <mergeCell ref="D19:F19"/>
    <mergeCell ref="I35:J35"/>
    <mergeCell ref="J37:K37"/>
    <mergeCell ref="J39:K39"/>
    <mergeCell ref="D33:F33"/>
    <mergeCell ref="I22:J22"/>
    <mergeCell ref="I33:J33"/>
    <mergeCell ref="I31:J31"/>
    <mergeCell ref="D20:F20"/>
    <mergeCell ref="I20:J20"/>
    <mergeCell ref="D21:F21"/>
    <mergeCell ref="I24:J24"/>
    <mergeCell ref="D22:F22"/>
    <mergeCell ref="D24:F24"/>
    <mergeCell ref="I23:J23"/>
    <mergeCell ref="I29:J29"/>
    <mergeCell ref="D23:F23"/>
    <mergeCell ref="D29:F29"/>
  </mergeCells>
  <hyperlinks>
    <hyperlink ref="B15" r:id="rId1" xr:uid="{4C3D2FCC-EABE-4AC5-AE6D-9C1D686B3137}"/>
  </hyperlinks>
  <pageMargins left="0.74803149606299213" right="0" top="0" bottom="0" header="0" footer="0"/>
  <pageSetup paperSize="9" scale="71" orientation="portrait" r:id="rId2"/>
  <drawing r:id="rId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2381A-65A3-4290-A109-6783C592EBD8}">
  <sheetPr codeName="Sheet76">
    <tabColor rgb="FFFFC000"/>
    <pageSetUpPr fitToPage="1"/>
  </sheetPr>
  <dimension ref="B1:R47"/>
  <sheetViews>
    <sheetView topLeftCell="C10" workbookViewId="0">
      <selection activeCell="I20" sqref="I20:J20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2695312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7.17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399</v>
      </c>
      <c r="J10" s="24" t="s">
        <v>27</v>
      </c>
      <c r="K10" s="464">
        <v>202504195</v>
      </c>
      <c r="L10" s="465"/>
    </row>
    <row r="11" spans="2:12" ht="20.149999999999999" customHeight="1" x14ac:dyDescent="0.45">
      <c r="B11" s="466" t="s">
        <v>679</v>
      </c>
      <c r="C11" s="467"/>
      <c r="D11" s="468"/>
      <c r="E11" s="25"/>
      <c r="F11" s="469" t="str">
        <f>VLOOKUP(H10,'Delivery Location'!A$4:N$466,2,0)</f>
        <v>Combines Stall / Century Square                           Stall #01                                                                    2, Tampines Central 5, #03-20       Century Square</v>
      </c>
      <c r="G11" s="470"/>
      <c r="H11" s="471"/>
      <c r="J11" s="26" t="s">
        <v>9</v>
      </c>
      <c r="K11" s="478">
        <v>45755</v>
      </c>
      <c r="L11" s="479"/>
    </row>
    <row r="12" spans="2:12" ht="20.149999999999999" customHeight="1" x14ac:dyDescent="0.45">
      <c r="B12" s="480" t="s">
        <v>524</v>
      </c>
      <c r="C12" s="453"/>
      <c r="D12" s="481"/>
      <c r="E12" s="25"/>
      <c r="F12" s="472"/>
      <c r="G12" s="473"/>
      <c r="H12" s="474"/>
      <c r="J12" s="26" t="s">
        <v>127</v>
      </c>
      <c r="K12" s="482">
        <v>4500361946</v>
      </c>
      <c r="L12" s="483"/>
    </row>
    <row r="13" spans="2:12" ht="20.149999999999999" customHeight="1" x14ac:dyDescent="0.45">
      <c r="B13" s="480" t="s">
        <v>525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609</v>
      </c>
      <c r="L13" s="483"/>
    </row>
    <row r="14" spans="2:12" ht="20.149999999999999" customHeight="1" x14ac:dyDescent="0.45">
      <c r="B14" s="480" t="s">
        <v>526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18" t="s">
        <v>527</v>
      </c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8" ht="20.149999999999999" customHeight="1" x14ac:dyDescent="0.45">
      <c r="B18" s="58">
        <v>520704</v>
      </c>
      <c r="C18" s="212" t="str">
        <f>VLOOKUP(B18,'Sales Master'!A$3:B$531,2,0)</f>
        <v>M1014</v>
      </c>
      <c r="D18" s="487" t="str">
        <f>VLOOKUP(C18,'Sales Master'!B$3:D$537,2,)</f>
        <v>Chendol 浆咯</v>
      </c>
      <c r="E18" s="487"/>
      <c r="F18" s="487"/>
      <c r="G18" s="76">
        <v>2</v>
      </c>
      <c r="H18" s="247" t="str">
        <f>VLOOKUP(C18,'Sales Master'!$B$3:$F$2420,5,0)</f>
        <v>NW(2.2:0.8) 3kg/ Pkt包</v>
      </c>
      <c r="I18" s="513" t="str">
        <f>VLOOKUP(C18,'Sales Master'!$B$3:$E$2420,4,0)</f>
        <v>DO!</v>
      </c>
      <c r="J18" s="513"/>
      <c r="K18" s="80">
        <f>VLOOKUP(C18,'Sales Master'!B$3:I$537,8,0)</f>
        <v>7.5</v>
      </c>
      <c r="L18" s="64">
        <f t="shared" ref="L18" si="0">G18*K18</f>
        <v>15</v>
      </c>
      <c r="M18" s="65"/>
    </row>
    <row r="19" spans="2:18" ht="20.149999999999999" customHeight="1" x14ac:dyDescent="0.45">
      <c r="B19" s="58">
        <v>520695</v>
      </c>
      <c r="C19" s="212" t="str">
        <f>VLOOKUP(B19,'Sales Master'!A$3:B$531,2,0)</f>
        <v>P3001B</v>
      </c>
      <c r="D19" s="487" t="str">
        <f>VLOOKUP(C19,'Sales Master'!B$3:D$537,2,)</f>
        <v>Atap Seeds in Syrup 亚嗒子</v>
      </c>
      <c r="E19" s="487"/>
      <c r="F19" s="487"/>
      <c r="G19" s="76">
        <v>1</v>
      </c>
      <c r="H19" s="247" t="str">
        <f>VLOOKUP(C19,'Sales Master'!$B$3:$F$2420,5,0)</f>
        <v>NW(1.6:0.6) 2.2kg/ Bag包</v>
      </c>
      <c r="I19" s="513" t="str">
        <f>VLOOKUP(C19,'Sales Master'!$B$3:$E$2420,4,0)</f>
        <v>DO!</v>
      </c>
      <c r="J19" s="513"/>
      <c r="K19" s="80">
        <f>VLOOKUP(C19,'Sales Master'!B$3:I$537,8,0)</f>
        <v>10</v>
      </c>
      <c r="L19" s="64">
        <f>G19*K19</f>
        <v>10</v>
      </c>
      <c r="M19" s="65"/>
    </row>
    <row r="20" spans="2:18" ht="20.149999999999999" customHeight="1" x14ac:dyDescent="0.45">
      <c r="B20" s="58">
        <v>520696</v>
      </c>
      <c r="C20" s="212" t="str">
        <f>VLOOKUP(B20,'Sales Master'!A$3:B$531,2,0)</f>
        <v>P3016A</v>
      </c>
      <c r="D20" s="487" t="str">
        <f>VLOOKUP(C20,'Sales Master'!B$3:D$537,2,)</f>
        <v>Pearl Barley 薏米</v>
      </c>
      <c r="E20" s="487"/>
      <c r="F20" s="487"/>
      <c r="G20" s="76">
        <v>1</v>
      </c>
      <c r="H20" s="247" t="str">
        <f>VLOOKUP(C20,'Sales Master'!$B$3:$F$2420,5,0)</f>
        <v>5 KG</v>
      </c>
      <c r="I20" s="513" t="str">
        <f>VLOOKUP(C20,'Sales Master'!$B$3:$E$2420,4,0)</f>
        <v>-</v>
      </c>
      <c r="J20" s="513"/>
      <c r="K20" s="80">
        <f>VLOOKUP(C20,'Sales Master'!B$3:I$537,8,0)</f>
        <v>10</v>
      </c>
      <c r="L20" s="64">
        <f t="shared" ref="L20" si="1">G20*K20</f>
        <v>10</v>
      </c>
      <c r="M20" s="65"/>
    </row>
    <row r="21" spans="2:18" ht="20.149999999999999" customHeight="1" x14ac:dyDescent="0.45">
      <c r="B21" s="58">
        <v>520714</v>
      </c>
      <c r="C21" s="212" t="str">
        <f>VLOOKUP(B21,'Sales Master'!A$3:B$531,2,0)</f>
        <v>P3019A</v>
      </c>
      <c r="D21" s="487" t="str">
        <f>VLOOKUP(C21,'Sales Master'!B$3:D$537,2,)</f>
        <v>Dried Longan 龙眼干</v>
      </c>
      <c r="E21" s="487"/>
      <c r="F21" s="487"/>
      <c r="G21" s="76">
        <v>6</v>
      </c>
      <c r="H21" s="247" t="str">
        <f>VLOOKUP(C21,'Sales Master'!$B$3:$F$2420,5,0)</f>
        <v>1 kg/ Pkt包</v>
      </c>
      <c r="I21" s="513" t="str">
        <f>VLOOKUP(C21,'Sales Master'!$B$3:$E$2420,4,0)</f>
        <v>TL</v>
      </c>
      <c r="J21" s="513"/>
      <c r="K21" s="80">
        <f>VLOOKUP(C21,'Sales Master'!B$3:I$537,8,0)</f>
        <v>15</v>
      </c>
      <c r="L21" s="64">
        <f>G21*K21</f>
        <v>90</v>
      </c>
      <c r="M21" s="65"/>
    </row>
    <row r="22" spans="2:18" ht="20.149999999999999" customHeight="1" x14ac:dyDescent="0.45">
      <c r="B22" s="58">
        <v>520700</v>
      </c>
      <c r="C22" s="212" t="str">
        <f>VLOOKUP(B22,'Sales Master'!A$3:B$531,2,0)</f>
        <v>P5002A</v>
      </c>
      <c r="D22" s="487" t="str">
        <f>VLOOKUP(C22,'Sales Master'!B$3:D$537,2,)</f>
        <v>Brown Sugar 黑糖</v>
      </c>
      <c r="E22" s="487"/>
      <c r="F22" s="487"/>
      <c r="G22" s="76">
        <v>1</v>
      </c>
      <c r="H22" s="247" t="str">
        <f>VLOOKUP(C22,'Sales Master'!$B$3:$F$2420,5,0)</f>
        <v>6 KG</v>
      </c>
      <c r="I22" s="513" t="str">
        <f>VLOOKUP(C22,'Sales Master'!$B$3:$E$2420,4,0)</f>
        <v>Star</v>
      </c>
      <c r="J22" s="513"/>
      <c r="K22" s="80">
        <f>VLOOKUP(C22,'Sales Master'!B$3:I$537,8,0)</f>
        <v>17</v>
      </c>
      <c r="L22" s="64">
        <f t="shared" ref="L22" si="2">G22*K22</f>
        <v>17</v>
      </c>
      <c r="M22" s="65"/>
    </row>
    <row r="23" spans="2:18" ht="20.149999999999999" customHeight="1" x14ac:dyDescent="0.45">
      <c r="B23" s="58"/>
      <c r="C23" s="212"/>
      <c r="D23" s="487"/>
      <c r="E23" s="487"/>
      <c r="F23" s="487"/>
      <c r="G23" s="76"/>
      <c r="H23" s="247"/>
      <c r="I23" s="513"/>
      <c r="J23" s="513"/>
      <c r="K23" s="80"/>
      <c r="L23" s="64"/>
      <c r="M23" s="65"/>
    </row>
    <row r="24" spans="2:18" ht="20.149999999999999" customHeight="1" x14ac:dyDescent="0.45">
      <c r="B24" s="58"/>
      <c r="C24" s="212"/>
      <c r="D24" s="487"/>
      <c r="E24" s="487"/>
      <c r="F24" s="487"/>
      <c r="G24" s="76"/>
      <c r="H24" s="247"/>
      <c r="I24" s="513"/>
      <c r="J24" s="513"/>
      <c r="K24" s="80"/>
      <c r="L24" s="64"/>
      <c r="M24" s="65"/>
    </row>
    <row r="25" spans="2:18" ht="20.149999999999999" customHeight="1" x14ac:dyDescent="0.45">
      <c r="B25" s="58"/>
      <c r="C25" s="212"/>
      <c r="D25" s="487"/>
      <c r="E25" s="487"/>
      <c r="F25" s="487"/>
      <c r="G25" s="76"/>
      <c r="H25" s="247"/>
      <c r="I25" s="513"/>
      <c r="J25" s="513"/>
      <c r="K25" s="80"/>
      <c r="L25" s="64"/>
      <c r="M25" s="65"/>
    </row>
    <row r="26" spans="2:18" ht="20.149999999999999" customHeight="1" x14ac:dyDescent="0.45">
      <c r="B26" s="58"/>
      <c r="C26" s="212"/>
      <c r="D26" s="487"/>
      <c r="E26" s="487"/>
      <c r="F26" s="487"/>
      <c r="G26" s="76"/>
      <c r="H26" s="247"/>
      <c r="I26" s="513"/>
      <c r="J26" s="513"/>
      <c r="K26" s="80"/>
      <c r="L26" s="64"/>
      <c r="M26" s="65"/>
    </row>
    <row r="27" spans="2:18" ht="20.149999999999999" customHeight="1" x14ac:dyDescent="0.45">
      <c r="B27" s="58"/>
      <c r="C27" s="212"/>
      <c r="D27" s="487"/>
      <c r="E27" s="487"/>
      <c r="F27" s="487"/>
      <c r="G27" s="76"/>
      <c r="H27" s="247"/>
      <c r="I27" s="513"/>
      <c r="J27" s="513"/>
      <c r="K27" s="80"/>
      <c r="L27" s="64"/>
      <c r="M27" s="65"/>
    </row>
    <row r="28" spans="2:18" ht="20.149999999999999" customHeight="1" x14ac:dyDescent="0.45">
      <c r="B28" s="58"/>
      <c r="C28" s="212"/>
      <c r="D28" s="487"/>
      <c r="E28" s="487"/>
      <c r="F28" s="487"/>
      <c r="G28" s="76"/>
      <c r="H28" s="247"/>
      <c r="I28" s="513"/>
      <c r="J28" s="513"/>
      <c r="K28" s="80"/>
      <c r="L28" s="64"/>
      <c r="M28" s="65"/>
    </row>
    <row r="29" spans="2:18" ht="20.149999999999999" customHeight="1" x14ac:dyDescent="0.45">
      <c r="B29" s="243"/>
      <c r="C29" s="212"/>
      <c r="D29" s="487"/>
      <c r="E29" s="487"/>
      <c r="F29" s="487"/>
      <c r="G29" s="76"/>
      <c r="H29" s="183"/>
      <c r="I29" s="513"/>
      <c r="J29" s="513"/>
      <c r="K29" s="80"/>
      <c r="L29" s="64"/>
      <c r="M29" s="65"/>
    </row>
    <row r="30" spans="2:18" ht="20.149999999999999" customHeight="1" x14ac:dyDescent="0.45">
      <c r="B30" s="243"/>
      <c r="C30" s="212"/>
      <c r="G30" s="76"/>
      <c r="H30" s="183"/>
      <c r="I30" s="209"/>
      <c r="J30" s="209"/>
      <c r="K30" s="80"/>
      <c r="L30" s="64"/>
      <c r="M30" s="65"/>
    </row>
    <row r="31" spans="2:18" ht="20.149999999999999" customHeight="1" x14ac:dyDescent="0.45">
      <c r="B31" s="243"/>
      <c r="C31" s="212"/>
      <c r="G31" s="76"/>
      <c r="H31" s="183"/>
      <c r="I31" s="209"/>
      <c r="J31" s="209"/>
      <c r="K31" s="80"/>
      <c r="L31" s="64"/>
      <c r="M31" s="65"/>
      <c r="N31" s="145"/>
      <c r="O31" s="145"/>
      <c r="P31" s="145"/>
      <c r="R31" s="63"/>
    </row>
    <row r="32" spans="2:18" ht="20.149999999999999" customHeight="1" x14ac:dyDescent="0.45">
      <c r="B32" s="243"/>
      <c r="C32" s="212"/>
      <c r="G32" s="76"/>
      <c r="H32" s="183"/>
      <c r="I32" s="209"/>
      <c r="J32" s="209"/>
      <c r="K32" s="80"/>
      <c r="L32" s="64"/>
      <c r="M32" s="65"/>
      <c r="N32" s="145"/>
      <c r="O32" s="145"/>
      <c r="P32" s="145"/>
      <c r="R32" s="63"/>
    </row>
    <row r="33" spans="2:17" ht="20.149999999999999" customHeight="1" x14ac:dyDescent="0.45">
      <c r="B33" s="122"/>
      <c r="C33" s="105"/>
      <c r="D33" s="552"/>
      <c r="E33" s="552"/>
      <c r="F33" s="552"/>
      <c r="G33" s="97"/>
      <c r="H33" s="124"/>
      <c r="I33" s="539"/>
      <c r="J33" s="539"/>
      <c r="K33" s="95"/>
      <c r="L33" s="98"/>
    </row>
    <row r="34" spans="2:17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550" t="s">
        <v>13</v>
      </c>
      <c r="K34" s="551"/>
      <c r="L34" s="121">
        <f>SUM(L18:L33)</f>
        <v>142</v>
      </c>
      <c r="M34" s="63">
        <f>SUM(P18:P33)</f>
        <v>0</v>
      </c>
      <c r="N34" s="133">
        <f>M34/L34</f>
        <v>0</v>
      </c>
      <c r="Q34" s="133"/>
    </row>
    <row r="35" spans="2:17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  <c r="M35" s="63"/>
    </row>
    <row r="36" spans="2:17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91" t="s">
        <v>19</v>
      </c>
      <c r="K36" s="492"/>
      <c r="L36" s="41">
        <f>L34-L35</f>
        <v>142</v>
      </c>
    </row>
    <row r="37" spans="2:17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12.78</v>
      </c>
    </row>
    <row r="38" spans="2:17" ht="20.149999999999999" customHeight="1" thickBot="1" x14ac:dyDescent="0.5">
      <c r="B38" s="10" t="s">
        <v>676</v>
      </c>
      <c r="C38" s="6"/>
      <c r="D38" s="6"/>
      <c r="E38" s="6"/>
      <c r="F38" s="6"/>
      <c r="G38" s="6"/>
      <c r="H38" s="6"/>
      <c r="I38" s="6"/>
      <c r="J38" s="485" t="s">
        <v>21</v>
      </c>
      <c r="K38" s="486"/>
      <c r="L38" s="43">
        <f>L36+L37</f>
        <v>154.78</v>
      </c>
    </row>
    <row r="39" spans="2:17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  <c r="N39" s="173">
        <v>44641</v>
      </c>
      <c r="O39" s="19">
        <v>196.3</v>
      </c>
      <c r="P39" s="19">
        <v>40.590000000000003</v>
      </c>
      <c r="Q39" s="133">
        <f>P39/O39</f>
        <v>0.20677534386143659</v>
      </c>
    </row>
    <row r="40" spans="2:17" ht="20.149999999999999" customHeight="1" x14ac:dyDescent="0.45">
      <c r="B40" s="144" t="s">
        <v>666</v>
      </c>
      <c r="L40" s="37"/>
    </row>
    <row r="41" spans="2:17" ht="20.149999999999999" customHeight="1" x14ac:dyDescent="0.45">
      <c r="B41" s="36"/>
      <c r="L41" s="37"/>
    </row>
    <row r="42" spans="2:17" ht="20.149999999999999" customHeight="1" x14ac:dyDescent="0.45">
      <c r="B42" s="36"/>
      <c r="L42" s="37"/>
    </row>
    <row r="43" spans="2:17" ht="20.149999999999999" customHeight="1" x14ac:dyDescent="0.45">
      <c r="B43" s="36"/>
      <c r="L43" s="37"/>
    </row>
    <row r="44" spans="2:17" ht="20.149999999999999" customHeight="1" x14ac:dyDescent="0.45">
      <c r="B44" s="44"/>
      <c r="C44" s="45"/>
      <c r="D44" s="45"/>
      <c r="J44" s="45"/>
      <c r="K44" s="45"/>
      <c r="L44" s="46"/>
    </row>
    <row r="45" spans="2:17" ht="20.149999999999999" customHeight="1" x14ac:dyDescent="0.45">
      <c r="B45" s="36" t="s">
        <v>25</v>
      </c>
      <c r="J45" s="19" t="s">
        <v>26</v>
      </c>
      <c r="L45" s="37"/>
    </row>
    <row r="46" spans="2:17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  <row r="47" spans="2:17" ht="20.5" x14ac:dyDescent="0.45">
      <c r="F47" s="201"/>
    </row>
  </sheetData>
  <mergeCells count="4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9:F19"/>
    <mergeCell ref="I19:J19"/>
    <mergeCell ref="D24:F24"/>
    <mergeCell ref="I24:J24"/>
    <mergeCell ref="D21:F21"/>
    <mergeCell ref="I21:J21"/>
    <mergeCell ref="D25:F25"/>
    <mergeCell ref="I25:J25"/>
    <mergeCell ref="D18:F18"/>
    <mergeCell ref="I18:J18"/>
    <mergeCell ref="D22:F22"/>
    <mergeCell ref="I23:J23"/>
    <mergeCell ref="I22:J22"/>
    <mergeCell ref="D20:F20"/>
    <mergeCell ref="I20:J20"/>
    <mergeCell ref="D23:F23"/>
    <mergeCell ref="J38:K38"/>
    <mergeCell ref="D33:F33"/>
    <mergeCell ref="I33:J33"/>
    <mergeCell ref="J34:K34"/>
    <mergeCell ref="J36:K36"/>
    <mergeCell ref="I26:J26"/>
    <mergeCell ref="D26:F26"/>
    <mergeCell ref="D27:F27"/>
    <mergeCell ref="I27:J27"/>
    <mergeCell ref="I29:J29"/>
    <mergeCell ref="D29:F29"/>
    <mergeCell ref="D28:F28"/>
    <mergeCell ref="I28:J28"/>
  </mergeCells>
  <hyperlinks>
    <hyperlink ref="B15" r:id="rId1" xr:uid="{2ECD0FCE-4143-4625-AF56-6C0585EDA636}"/>
  </hyperlinks>
  <pageMargins left="0.70866141732283472" right="0.31496062992125984" top="0.23622047244094491" bottom="0.23622047244094491" header="0.31496062992125984" footer="0.31496062992125984"/>
  <pageSetup paperSize="9" scale="72" orientation="portrait" horizontalDpi="4294967293" r:id="rId2"/>
  <drawing r:id="rId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E118A-460B-4615-A35F-67275EFC7700}">
  <sheetPr>
    <tabColor rgb="FFFFC000"/>
    <pageSetUpPr fitToPage="1"/>
  </sheetPr>
  <dimension ref="B1:R47"/>
  <sheetViews>
    <sheetView topLeftCell="A11" workbookViewId="0">
      <selection activeCell="F11" sqref="F11:H15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2695312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7.17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399</v>
      </c>
      <c r="J10" s="24" t="s">
        <v>27</v>
      </c>
      <c r="K10" s="464">
        <v>202501242</v>
      </c>
      <c r="L10" s="465"/>
    </row>
    <row r="11" spans="2:12" ht="20.149999999999999" customHeight="1" x14ac:dyDescent="0.45">
      <c r="B11" s="466" t="s">
        <v>679</v>
      </c>
      <c r="C11" s="467"/>
      <c r="D11" s="468"/>
      <c r="E11" s="25"/>
      <c r="F11" s="469" t="str">
        <f>VLOOKUP(H10,'Delivery Location'!A$4:N$466,2,0)</f>
        <v>Combines Stall / Century Square                           Stall #01                                                                    2, Tampines Central 5, #03-20       Century Square</v>
      </c>
      <c r="G11" s="470"/>
      <c r="H11" s="471"/>
      <c r="J11" s="26" t="s">
        <v>9</v>
      </c>
      <c r="K11" s="478">
        <v>45667</v>
      </c>
      <c r="L11" s="479"/>
    </row>
    <row r="12" spans="2:12" ht="20.149999999999999" customHeight="1" x14ac:dyDescent="0.45">
      <c r="B12" s="480" t="s">
        <v>524</v>
      </c>
      <c r="C12" s="453"/>
      <c r="D12" s="481"/>
      <c r="E12" s="25"/>
      <c r="F12" s="472"/>
      <c r="G12" s="473"/>
      <c r="H12" s="474"/>
      <c r="J12" s="26" t="s">
        <v>127</v>
      </c>
      <c r="K12" s="482">
        <v>4500322385</v>
      </c>
      <c r="L12" s="483"/>
    </row>
    <row r="13" spans="2:12" ht="20.149999999999999" customHeight="1" x14ac:dyDescent="0.45">
      <c r="B13" s="480" t="s">
        <v>525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609</v>
      </c>
      <c r="L13" s="483"/>
    </row>
    <row r="14" spans="2:12" ht="20.149999999999999" customHeight="1" x14ac:dyDescent="0.45">
      <c r="B14" s="480" t="s">
        <v>526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18" t="s">
        <v>527</v>
      </c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8" ht="20.149999999999999" customHeight="1" x14ac:dyDescent="0.45">
      <c r="B18" s="58">
        <v>520696</v>
      </c>
      <c r="C18" s="212" t="str">
        <f>VLOOKUP(B18,'Sales Master'!A$3:B$531,2,0)</f>
        <v>P3016A</v>
      </c>
      <c r="D18" s="487" t="str">
        <f>VLOOKUP(C18,'Sales Master'!B$3:D$537,2,)</f>
        <v>Pearl Barley 薏米</v>
      </c>
      <c r="E18" s="487"/>
      <c r="F18" s="487"/>
      <c r="G18" s="76">
        <v>2</v>
      </c>
      <c r="H18" s="247" t="str">
        <f>VLOOKUP(C18,'Sales Master'!$B$3:$F$2420,5,0)</f>
        <v>5 KG</v>
      </c>
      <c r="I18" s="513" t="str">
        <f>VLOOKUP(C18,'Sales Master'!$B$3:$E$2420,4,0)</f>
        <v>-</v>
      </c>
      <c r="J18" s="513"/>
      <c r="K18" s="80">
        <f>VLOOKUP(C18,'Sales Master'!B$3:I$537,8,0)</f>
        <v>10</v>
      </c>
      <c r="L18" s="64">
        <f t="shared" ref="L18" si="0">G18*K18</f>
        <v>20</v>
      </c>
      <c r="M18" s="65"/>
    </row>
    <row r="19" spans="2:18" ht="20.149999999999999" customHeight="1" x14ac:dyDescent="0.45">
      <c r="B19" s="58">
        <v>520700</v>
      </c>
      <c r="C19" s="212" t="str">
        <f>VLOOKUP(B19,'Sales Master'!A$3:B$531,2,0)</f>
        <v>P5002A</v>
      </c>
      <c r="D19" s="487" t="str">
        <f>VLOOKUP(C19,'Sales Master'!B$3:D$537,2,)</f>
        <v>Brown Sugar 黑糖</v>
      </c>
      <c r="E19" s="487"/>
      <c r="F19" s="487"/>
      <c r="G19" s="76">
        <v>2</v>
      </c>
      <c r="H19" s="247" t="str">
        <f>VLOOKUP(C19,'Sales Master'!$B$3:$F$2420,5,0)</f>
        <v>6 KG</v>
      </c>
      <c r="I19" s="513" t="str">
        <f>VLOOKUP(C19,'Sales Master'!$B$3:$E$2420,4,0)</f>
        <v>Star</v>
      </c>
      <c r="J19" s="513"/>
      <c r="K19" s="80">
        <f>VLOOKUP(C19,'Sales Master'!B$3:I$537,8,0)</f>
        <v>17</v>
      </c>
      <c r="L19" s="64">
        <f>G19*K19</f>
        <v>34</v>
      </c>
      <c r="M19" s="65"/>
    </row>
    <row r="20" spans="2:18" ht="20.149999999999999" customHeight="1" x14ac:dyDescent="0.45">
      <c r="B20" s="58">
        <v>520704</v>
      </c>
      <c r="C20" s="212" t="str">
        <f>VLOOKUP(B20,'Sales Master'!A$3:B$531,2,0)</f>
        <v>M1014</v>
      </c>
      <c r="D20" s="487" t="str">
        <f>VLOOKUP(C20,'Sales Master'!B$3:D$537,2,)</f>
        <v>Chendol 浆咯</v>
      </c>
      <c r="E20" s="487"/>
      <c r="F20" s="487"/>
      <c r="G20" s="76">
        <v>2</v>
      </c>
      <c r="H20" s="247" t="str">
        <f>VLOOKUP(C20,'Sales Master'!$B$3:$F$2420,5,0)</f>
        <v>NW(2.2:0.8) 3kg/ Pkt包</v>
      </c>
      <c r="I20" s="513" t="str">
        <f>VLOOKUP(C20,'Sales Master'!$B$3:$E$2420,4,0)</f>
        <v>DO!</v>
      </c>
      <c r="J20" s="513"/>
      <c r="K20" s="80">
        <f>VLOOKUP(C20,'Sales Master'!B$3:I$537,8,0)</f>
        <v>7.5</v>
      </c>
      <c r="L20" s="64">
        <f t="shared" ref="L20:L24" si="1">G20*K20</f>
        <v>15</v>
      </c>
      <c r="M20" s="65"/>
    </row>
    <row r="21" spans="2:18" ht="20.149999999999999" customHeight="1" x14ac:dyDescent="0.45">
      <c r="B21" s="58">
        <v>520705</v>
      </c>
      <c r="C21" s="212" t="str">
        <f>VLOOKUP(B21,'Sales Master'!A$3:B$531,2,0)</f>
        <v>P3002</v>
      </c>
      <c r="D21" s="487" t="str">
        <f>VLOOKUP(C21,'Sales Master'!B$3:D$537,2,)</f>
        <v>Chin Chow  仙草</v>
      </c>
      <c r="E21" s="487"/>
      <c r="F21" s="487"/>
      <c r="G21" s="76">
        <v>2</v>
      </c>
      <c r="H21" s="247" t="str">
        <f>VLOOKUP(C21,'Sales Master'!$B$3:$F$2420,5,0)</f>
        <v>4 KG/ Pkt包</v>
      </c>
      <c r="I21" s="513" t="str">
        <f>VLOOKUP(C21,'Sales Master'!$B$3:$E$2420,4,0)</f>
        <v>TSM</v>
      </c>
      <c r="J21" s="513"/>
      <c r="K21" s="80">
        <f>VLOOKUP(C21,'Sales Master'!B$3:I$537,8,0)</f>
        <v>6</v>
      </c>
      <c r="L21" s="64">
        <f t="shared" si="1"/>
        <v>12</v>
      </c>
      <c r="M21" s="65"/>
    </row>
    <row r="22" spans="2:18" ht="20.149999999999999" customHeight="1" x14ac:dyDescent="0.45">
      <c r="B22" s="58">
        <v>520711</v>
      </c>
      <c r="C22" s="212" t="str">
        <f>VLOOKUP(B22,'Sales Master'!A$3:B$531,2,0)</f>
        <v>P4014</v>
      </c>
      <c r="D22" s="487" t="str">
        <f>VLOOKUP(C22,'Sales Master'!B$3:D$537,2,)</f>
        <v>Cream Corn 玉米浆</v>
      </c>
      <c r="E22" s="487"/>
      <c r="F22" s="487"/>
      <c r="G22" s="76">
        <v>1</v>
      </c>
      <c r="H22" s="247" t="str">
        <f>VLOOKUP(C22,'Sales Master'!$B$3:$F$2420,5,0)</f>
        <v>410 GM x 24/ Ctn箱</v>
      </c>
      <c r="I22" s="513" t="str">
        <f>VLOOKUP(C22,'Sales Master'!$B$3:$E$2420,4,0)</f>
        <v>Statue</v>
      </c>
      <c r="J22" s="513"/>
      <c r="K22" s="80">
        <f>VLOOKUP(C22,'Sales Master'!B$3:I$537,8,0)</f>
        <v>23</v>
      </c>
      <c r="L22" s="64">
        <f t="shared" si="1"/>
        <v>23</v>
      </c>
      <c r="M22" s="65"/>
    </row>
    <row r="23" spans="2:18" ht="20.149999999999999" customHeight="1" x14ac:dyDescent="0.45">
      <c r="B23" s="58">
        <v>520719</v>
      </c>
      <c r="C23" s="212" t="str">
        <f>VLOOKUP(B23,'Sales Master'!A$3:B$531,2,0)</f>
        <v>P4013</v>
      </c>
      <c r="D23" s="487" t="str">
        <f>VLOOKUP(C23,'Sales Master'!B$3:D$537,2,)</f>
        <v>Fruit Cocktail 杂果</v>
      </c>
      <c r="E23" s="487"/>
      <c r="F23" s="487"/>
      <c r="G23" s="76">
        <v>1</v>
      </c>
      <c r="H23" s="247" t="str">
        <f>VLOOKUP(C23,'Sales Master'!$B$3:$F$2420,5,0)</f>
        <v>820 GM x 12/ Ctn箱</v>
      </c>
      <c r="I23" s="513" t="str">
        <f>VLOOKUP(C23,'Sales Master'!$B$3:$E$2420,4,0)</f>
        <v>Statue</v>
      </c>
      <c r="J23" s="513"/>
      <c r="K23" s="80">
        <f>VLOOKUP(C23,'Sales Master'!B$3:I$537,8,0)</f>
        <v>37</v>
      </c>
      <c r="L23" s="64">
        <f t="shared" si="1"/>
        <v>37</v>
      </c>
      <c r="M23" s="65"/>
    </row>
    <row r="24" spans="2:18" ht="20.149999999999999" customHeight="1" x14ac:dyDescent="0.45">
      <c r="B24" s="58">
        <v>520740</v>
      </c>
      <c r="C24" s="212" t="str">
        <f>VLOOKUP(B24,'Sales Master'!A$3:B$531,2,0)</f>
        <v>M1037A</v>
      </c>
      <c r="D24" s="487" t="str">
        <f>VLOOKUP(C24,'Sales Master'!B$3:D$537,2,)</f>
        <v>Rock Sugar Syrup 冰糖浆</v>
      </c>
      <c r="E24" s="487"/>
      <c r="F24" s="487"/>
      <c r="G24" s="76">
        <v>10</v>
      </c>
      <c r="H24" s="247" t="str">
        <f>VLOOKUP(C24,'Sales Master'!$B$3:$F$2420,5,0)</f>
        <v>5 KG</v>
      </c>
      <c r="I24" s="513" t="str">
        <f>VLOOKUP(C24,'Sales Master'!$B$3:$E$2420,4,0)</f>
        <v>DO!</v>
      </c>
      <c r="J24" s="513"/>
      <c r="K24" s="80">
        <f>VLOOKUP(C24,'Sales Master'!B$3:I$537,8,0)</f>
        <v>11</v>
      </c>
      <c r="L24" s="64">
        <f t="shared" si="1"/>
        <v>110</v>
      </c>
      <c r="M24" s="65"/>
    </row>
    <row r="25" spans="2:18" ht="20.149999999999999" customHeight="1" x14ac:dyDescent="0.45">
      <c r="B25" s="58"/>
      <c r="C25" s="212"/>
      <c r="D25" s="487"/>
      <c r="E25" s="487"/>
      <c r="F25" s="487"/>
      <c r="G25" s="76"/>
      <c r="H25" s="247"/>
      <c r="I25" s="513"/>
      <c r="J25" s="513"/>
      <c r="K25" s="80"/>
      <c r="L25" s="64"/>
      <c r="M25" s="65"/>
    </row>
    <row r="26" spans="2:18" ht="20.149999999999999" customHeight="1" x14ac:dyDescent="0.45">
      <c r="B26" s="58"/>
      <c r="C26" s="212"/>
      <c r="D26" s="487"/>
      <c r="E26" s="487"/>
      <c r="F26" s="487"/>
      <c r="G26" s="76"/>
      <c r="H26" s="247"/>
      <c r="I26" s="513"/>
      <c r="J26" s="513"/>
      <c r="K26" s="80"/>
      <c r="L26" s="64"/>
      <c r="M26" s="65"/>
    </row>
    <row r="27" spans="2:18" ht="20.149999999999999" customHeight="1" x14ac:dyDescent="0.45">
      <c r="B27" s="58"/>
      <c r="C27" s="212"/>
      <c r="D27" s="487"/>
      <c r="E27" s="487"/>
      <c r="F27" s="487"/>
      <c r="G27" s="76"/>
      <c r="H27" s="247"/>
      <c r="I27" s="513"/>
      <c r="J27" s="513"/>
      <c r="K27" s="80"/>
      <c r="L27" s="64"/>
      <c r="M27" s="65"/>
    </row>
    <row r="28" spans="2:18" ht="20.149999999999999" customHeight="1" x14ac:dyDescent="0.45">
      <c r="B28" s="58"/>
      <c r="C28" s="212"/>
      <c r="D28" s="487"/>
      <c r="E28" s="487"/>
      <c r="F28" s="487"/>
      <c r="G28" s="76"/>
      <c r="H28" s="247"/>
      <c r="I28" s="513"/>
      <c r="J28" s="513"/>
      <c r="K28" s="80"/>
      <c r="L28" s="64"/>
      <c r="M28" s="65"/>
    </row>
    <row r="29" spans="2:18" ht="20.149999999999999" customHeight="1" x14ac:dyDescent="0.45">
      <c r="B29" s="243"/>
      <c r="C29" s="212"/>
      <c r="D29" s="487"/>
      <c r="E29" s="487"/>
      <c r="F29" s="487"/>
      <c r="G29" s="76"/>
      <c r="H29" s="183"/>
      <c r="I29" s="513"/>
      <c r="J29" s="513"/>
      <c r="K29" s="80"/>
      <c r="L29" s="64"/>
      <c r="M29" s="65"/>
    </row>
    <row r="30" spans="2:18" ht="20.149999999999999" customHeight="1" x14ac:dyDescent="0.45">
      <c r="B30" s="243"/>
      <c r="C30" s="212"/>
      <c r="G30" s="76"/>
      <c r="H30" s="183"/>
      <c r="I30" s="209"/>
      <c r="J30" s="209"/>
      <c r="K30" s="80"/>
      <c r="L30" s="64"/>
      <c r="M30" s="65"/>
    </row>
    <row r="31" spans="2:18" ht="20.149999999999999" customHeight="1" x14ac:dyDescent="0.45">
      <c r="B31" s="243"/>
      <c r="C31" s="212"/>
      <c r="G31" s="76"/>
      <c r="H31" s="183"/>
      <c r="I31" s="209"/>
      <c r="J31" s="209"/>
      <c r="K31" s="80"/>
      <c r="L31" s="64"/>
      <c r="M31" s="65"/>
      <c r="N31" s="145"/>
      <c r="O31" s="145"/>
      <c r="P31" s="145"/>
      <c r="R31" s="63"/>
    </row>
    <row r="32" spans="2:18" ht="20.149999999999999" customHeight="1" x14ac:dyDescent="0.45">
      <c r="B32" s="243"/>
      <c r="C32" s="212"/>
      <c r="G32" s="76"/>
      <c r="H32" s="183"/>
      <c r="I32" s="209"/>
      <c r="J32" s="209"/>
      <c r="K32" s="80"/>
      <c r="L32" s="64"/>
      <c r="M32" s="65"/>
      <c r="N32" s="145"/>
      <c r="O32" s="145"/>
      <c r="P32" s="145"/>
      <c r="R32" s="63"/>
    </row>
    <row r="33" spans="2:17" ht="20.149999999999999" customHeight="1" x14ac:dyDescent="0.45">
      <c r="B33" s="122"/>
      <c r="C33" s="105"/>
      <c r="D33" s="552"/>
      <c r="E33" s="552"/>
      <c r="F33" s="552"/>
      <c r="G33" s="97"/>
      <c r="H33" s="124"/>
      <c r="I33" s="539"/>
      <c r="J33" s="539"/>
      <c r="K33" s="95"/>
      <c r="L33" s="98"/>
    </row>
    <row r="34" spans="2:17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550" t="s">
        <v>13</v>
      </c>
      <c r="K34" s="551"/>
      <c r="L34" s="121">
        <f>SUM(L18:L33)</f>
        <v>251</v>
      </c>
      <c r="M34" s="63">
        <f>SUM(P18:P33)</f>
        <v>0</v>
      </c>
      <c r="N34" s="133">
        <f>M34/L34</f>
        <v>0</v>
      </c>
      <c r="Q34" s="133"/>
    </row>
    <row r="35" spans="2:17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  <c r="M35" s="63"/>
    </row>
    <row r="36" spans="2:17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91" t="s">
        <v>19</v>
      </c>
      <c r="K36" s="492"/>
      <c r="L36" s="41">
        <f>L34-L35</f>
        <v>251</v>
      </c>
    </row>
    <row r="37" spans="2:17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22.59</v>
      </c>
    </row>
    <row r="38" spans="2:17" ht="20.149999999999999" customHeight="1" thickBot="1" x14ac:dyDescent="0.5">
      <c r="B38" s="10" t="s">
        <v>676</v>
      </c>
      <c r="C38" s="6"/>
      <c r="D38" s="6"/>
      <c r="E38" s="6"/>
      <c r="F38" s="6"/>
      <c r="G38" s="6"/>
      <c r="H38" s="6"/>
      <c r="I38" s="6"/>
      <c r="J38" s="485" t="s">
        <v>21</v>
      </c>
      <c r="K38" s="486"/>
      <c r="L38" s="43">
        <f>L36+L37</f>
        <v>273.58999999999997</v>
      </c>
    </row>
    <row r="39" spans="2:17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  <c r="N39" s="173">
        <v>44641</v>
      </c>
      <c r="O39" s="19">
        <v>196.3</v>
      </c>
      <c r="P39" s="19">
        <v>40.590000000000003</v>
      </c>
      <c r="Q39" s="133">
        <f>P39/O39</f>
        <v>0.20677534386143659</v>
      </c>
    </row>
    <row r="40" spans="2:17" ht="20.149999999999999" customHeight="1" x14ac:dyDescent="0.45">
      <c r="B40" s="144" t="s">
        <v>666</v>
      </c>
      <c r="L40" s="37"/>
    </row>
    <row r="41" spans="2:17" ht="20.149999999999999" customHeight="1" x14ac:dyDescent="0.45">
      <c r="B41" s="36"/>
      <c r="L41" s="37"/>
    </row>
    <row r="42" spans="2:17" ht="20.149999999999999" customHeight="1" x14ac:dyDescent="0.45">
      <c r="B42" s="36"/>
      <c r="L42" s="37"/>
    </row>
    <row r="43" spans="2:17" ht="20.149999999999999" customHeight="1" x14ac:dyDescent="0.45">
      <c r="B43" s="36"/>
      <c r="L43" s="37"/>
    </row>
    <row r="44" spans="2:17" ht="20.149999999999999" customHeight="1" x14ac:dyDescent="0.45">
      <c r="B44" s="44"/>
      <c r="C44" s="45"/>
      <c r="D44" s="45"/>
      <c r="J44" s="45"/>
      <c r="K44" s="45"/>
      <c r="L44" s="46"/>
    </row>
    <row r="45" spans="2:17" ht="20.149999999999999" customHeight="1" x14ac:dyDescent="0.45">
      <c r="B45" s="36" t="s">
        <v>25</v>
      </c>
      <c r="J45" s="19" t="s">
        <v>26</v>
      </c>
      <c r="L45" s="37"/>
    </row>
    <row r="46" spans="2:17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  <row r="47" spans="2:17" ht="20.5" x14ac:dyDescent="0.45">
      <c r="F47" s="201"/>
    </row>
  </sheetData>
  <mergeCells count="4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34:K34"/>
    <mergeCell ref="J36:K36"/>
    <mergeCell ref="J38:K38"/>
    <mergeCell ref="D28:F28"/>
    <mergeCell ref="I28:J28"/>
    <mergeCell ref="D29:F29"/>
    <mergeCell ref="I29:J29"/>
    <mergeCell ref="D33:F33"/>
    <mergeCell ref="I33:J33"/>
  </mergeCells>
  <hyperlinks>
    <hyperlink ref="B15" r:id="rId1" xr:uid="{BB5B4BB0-EB29-449B-8298-CD0B0AE28283}"/>
  </hyperlinks>
  <pageMargins left="0.70866141732283472" right="0.31496062992125984" top="0.23622047244094491" bottom="0.23622047244094491" header="0.31496062992125984" footer="0.31496062992125984"/>
  <pageSetup paperSize="9" scale="72" orientation="portrait" r:id="rId2"/>
  <drawing r:id="rId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88CC2-DAF5-489B-91C4-DDB1EA7AA76F}">
  <sheetPr codeName="Sheet28">
    <tabColor rgb="FFFFC000"/>
    <pageSetUpPr fitToPage="1"/>
  </sheetPr>
  <dimension ref="B1:Q55"/>
  <sheetViews>
    <sheetView topLeftCell="A26" zoomScaleNormal="100" zoomScaleSheetLayoutView="98" workbookViewId="0">
      <selection activeCell="C33" sqref="C33:K37"/>
    </sheetView>
  </sheetViews>
  <sheetFormatPr defaultColWidth="12.54296875" defaultRowHeight="18.5" x14ac:dyDescent="0.45"/>
  <cols>
    <col min="1" max="1" width="12.54296875" style="19"/>
    <col min="2" max="2" width="12.54296875" style="19" customWidth="1"/>
    <col min="3" max="3" width="12.54296875" style="17" customWidth="1"/>
    <col min="4" max="4" width="12.54296875" style="19" customWidth="1"/>
    <col min="5" max="5" width="1.54296875" style="19" customWidth="1"/>
    <col min="6" max="6" width="19.54296875" style="19" customWidth="1"/>
    <col min="7" max="7" width="8.54296875" style="19" customWidth="1"/>
    <col min="8" max="8" width="18.089843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3.453125" style="19" bestFit="1" customWidth="1"/>
    <col min="13" max="13" width="12.54296875" style="19"/>
    <col min="14" max="16" width="12.6328125" style="19" customWidth="1"/>
    <col min="17" max="17" width="14.6328125" style="19" customWidth="1"/>
    <col min="18" max="22" width="8.6328125" style="19" customWidth="1"/>
    <col min="23" max="16384" width="12.54296875" style="19"/>
  </cols>
  <sheetData>
    <row r="1" spans="2:17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7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7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7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7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7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7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7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7" ht="19" thickBot="1" x14ac:dyDescent="0.5">
      <c r="B9" s="18"/>
    </row>
    <row r="10" spans="2:17" ht="18" customHeight="1" thickTop="1" thickBot="1" x14ac:dyDescent="0.5">
      <c r="B10" s="20" t="s">
        <v>7</v>
      </c>
      <c r="C10" s="21"/>
      <c r="D10" s="21"/>
      <c r="E10" s="21"/>
      <c r="F10" s="22" t="s">
        <v>8</v>
      </c>
      <c r="G10" s="23"/>
      <c r="H10" s="23" t="s">
        <v>420</v>
      </c>
      <c r="J10" s="24" t="s">
        <v>27</v>
      </c>
      <c r="K10" s="464">
        <v>202504210</v>
      </c>
      <c r="L10" s="465"/>
    </row>
    <row r="11" spans="2:17" ht="20.149999999999999" customHeight="1" x14ac:dyDescent="0.45">
      <c r="B11" s="466"/>
      <c r="C11" s="467"/>
      <c r="D11" s="468"/>
      <c r="E11" s="25"/>
      <c r="F11" s="469" t="str">
        <f>VLOOKUP(H10,'Delivery Location'!A$4:N$466,2,0)</f>
        <v>Tong Shui Desserts                                       101, Upper Cross Street #02-49.                   People's Park Centre, Singapore 058357</v>
      </c>
      <c r="G11" s="470"/>
      <c r="H11" s="471"/>
      <c r="J11" s="26" t="s">
        <v>9</v>
      </c>
      <c r="K11" s="478">
        <v>45755</v>
      </c>
      <c r="L11" s="479"/>
    </row>
    <row r="12" spans="2:17" ht="20.149999999999999" customHeight="1" x14ac:dyDescent="0.45">
      <c r="B12" s="480"/>
      <c r="C12" s="453"/>
      <c r="D12" s="481"/>
      <c r="E12" s="25"/>
      <c r="F12" s="472"/>
      <c r="G12" s="473"/>
      <c r="H12" s="474"/>
      <c r="J12" s="26" t="s">
        <v>127</v>
      </c>
      <c r="K12" s="500" t="s">
        <v>331</v>
      </c>
      <c r="L12" s="483"/>
      <c r="O12" s="487"/>
      <c r="P12" s="487"/>
      <c r="Q12" s="487"/>
    </row>
    <row r="13" spans="2:17" ht="20.149999999999999" customHeight="1" x14ac:dyDescent="0.45">
      <c r="B13" s="480"/>
      <c r="C13" s="453"/>
      <c r="D13" s="481"/>
      <c r="E13" s="25"/>
      <c r="F13" s="472"/>
      <c r="G13" s="473"/>
      <c r="H13" s="474"/>
      <c r="J13" s="26" t="s">
        <v>10</v>
      </c>
      <c r="K13" s="506" t="s">
        <v>696</v>
      </c>
      <c r="L13" s="507"/>
      <c r="N13" s="212" t="s">
        <v>977</v>
      </c>
      <c r="O13" s="487" t="s">
        <v>1900</v>
      </c>
      <c r="P13" s="487"/>
      <c r="Q13" s="487"/>
    </row>
    <row r="14" spans="2:17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  <c r="N14" s="212" t="s">
        <v>978</v>
      </c>
      <c r="O14" s="487" t="s">
        <v>1544</v>
      </c>
      <c r="P14" s="487"/>
      <c r="Q14" s="487"/>
    </row>
    <row r="15" spans="2:17" ht="18" customHeight="1" thickBot="1" x14ac:dyDescent="0.5">
      <c r="B15" s="508"/>
      <c r="C15" s="509"/>
      <c r="D15" s="510"/>
      <c r="E15" s="21"/>
      <c r="F15" s="475"/>
      <c r="G15" s="476"/>
      <c r="H15" s="477"/>
      <c r="J15" s="27" t="s">
        <v>11</v>
      </c>
      <c r="K15" s="119" t="s">
        <v>587</v>
      </c>
      <c r="L15" s="118"/>
    </row>
    <row r="16" spans="2:17" ht="19" thickBot="1" x14ac:dyDescent="0.5">
      <c r="J16" s="17"/>
      <c r="N16" s="93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93"/>
    </row>
    <row r="18" spans="2:17" ht="20.149999999999999" customHeight="1" x14ac:dyDescent="0.45">
      <c r="B18" s="58"/>
      <c r="C18" s="212" t="s">
        <v>786</v>
      </c>
      <c r="D18" s="487" t="str">
        <f>VLOOKUP(C18,'Sales Master'!B$3:D$537,2,)</f>
        <v>Tapioca Flour 茨粉</v>
      </c>
      <c r="E18" s="487"/>
      <c r="F18" s="487"/>
      <c r="G18" s="76">
        <v>20</v>
      </c>
      <c r="H18" s="186" t="str">
        <f>VLOOKUP(C18,'Sales Master'!$B$3:$F$2420,5,0)</f>
        <v xml:space="preserve">500 GM/pkt </v>
      </c>
      <c r="I18" s="484" t="str">
        <f>VLOOKUP(C18,'Sales Master'!$B$3:$E$2420,4,0)</f>
        <v>F/man 飞人</v>
      </c>
      <c r="J18" s="484"/>
      <c r="K18" s="184">
        <f>VLOOKUP(C18,'Sales Master'!B$3:R$2756,17,0)</f>
        <v>0.9</v>
      </c>
      <c r="L18" s="84">
        <f t="shared" ref="L18" si="0">K18*G18</f>
        <v>18</v>
      </c>
      <c r="M18" s="65"/>
      <c r="O18" s="487"/>
      <c r="P18" s="487"/>
      <c r="Q18" s="487"/>
    </row>
    <row r="19" spans="2:17" ht="20.149999999999999" customHeight="1" x14ac:dyDescent="0.45">
      <c r="B19" s="58"/>
      <c r="C19" s="244" t="s">
        <v>796</v>
      </c>
      <c r="D19" s="487" t="str">
        <f>VLOOKUP(C19,'Sales Master'!B$3:D$537,2,)</f>
        <v>Rice Flour 粘米粉</v>
      </c>
      <c r="E19" s="487"/>
      <c r="F19" s="487"/>
      <c r="G19" s="76">
        <v>1</v>
      </c>
      <c r="H19" s="186" t="str">
        <f>VLOOKUP(C19,'Sales Master'!$B$3:$F$2420,5,0)</f>
        <v>(600 GM x 20)/ Ctn箱</v>
      </c>
      <c r="I19" s="484" t="str">
        <f>VLOOKUP(C19,'Sales Master'!$B$3:$E$2420,4,0)</f>
        <v>ERAWAN</v>
      </c>
      <c r="J19" s="484"/>
      <c r="K19" s="184">
        <f>VLOOKUP(C19,'Sales Master'!B$3:R$2756,17,0)</f>
        <v>24</v>
      </c>
      <c r="L19" s="84">
        <f>K19*G19</f>
        <v>24</v>
      </c>
      <c r="M19" s="65"/>
      <c r="N19" s="93"/>
    </row>
    <row r="20" spans="2:17" ht="20.149999999999999" customHeight="1" x14ac:dyDescent="0.45">
      <c r="B20" s="58"/>
      <c r="C20" s="244" t="s">
        <v>812</v>
      </c>
      <c r="D20" s="487" t="str">
        <f>VLOOKUP(C20,'Sales Master'!B$3:D$537,2,)</f>
        <v>Red Bean 红豆 (5.5 mm)</v>
      </c>
      <c r="E20" s="487"/>
      <c r="F20" s="487"/>
      <c r="G20" s="76">
        <v>1</v>
      </c>
      <c r="H20" s="186" t="str">
        <f>VLOOKUP(C20,'Sales Master'!$B$3:$F$2420,5,0)</f>
        <v>5 KG</v>
      </c>
      <c r="I20" s="484" t="str">
        <f>VLOOKUP(C20,'Sales Master'!$B$3:$E$2420,4,0)</f>
        <v>-</v>
      </c>
      <c r="J20" s="484"/>
      <c r="K20" s="184">
        <f>VLOOKUP(C20,'Sales Master'!B$3:R$2756,17,0)</f>
        <v>19</v>
      </c>
      <c r="L20" s="84">
        <f>K20*G20</f>
        <v>19</v>
      </c>
      <c r="M20" s="65"/>
      <c r="N20" s="93"/>
    </row>
    <row r="21" spans="2:17" ht="20.149999999999999" customHeight="1" x14ac:dyDescent="0.45">
      <c r="B21" s="58"/>
      <c r="C21" s="244" t="s">
        <v>825</v>
      </c>
      <c r="D21" s="487" t="str">
        <f>VLOOKUP(C21,'Sales Master'!B$3:D$537,2,)</f>
        <v>Green Bean 绿豆</v>
      </c>
      <c r="E21" s="487"/>
      <c r="F21" s="487"/>
      <c r="G21" s="76">
        <v>1</v>
      </c>
      <c r="H21" s="186" t="str">
        <f>VLOOKUP(C21,'Sales Master'!$B$3:$F$2420,5,0)</f>
        <v>5 KG</v>
      </c>
      <c r="I21" s="484" t="str">
        <f>VLOOKUP(C21,'Sales Master'!$B$3:$E$2420,4,0)</f>
        <v>-</v>
      </c>
      <c r="J21" s="484"/>
      <c r="K21" s="184">
        <f>VLOOKUP(C21,'Sales Master'!B$3:R$2756,17,0)</f>
        <v>13.5</v>
      </c>
      <c r="L21" s="84">
        <f>K21*G21</f>
        <v>13.5</v>
      </c>
      <c r="M21" s="65"/>
      <c r="N21" s="93"/>
    </row>
    <row r="22" spans="2:17" ht="20.149999999999999" customHeight="1" x14ac:dyDescent="0.45">
      <c r="B22" s="58"/>
      <c r="C22" s="244" t="s">
        <v>831</v>
      </c>
      <c r="D22" s="487" t="str">
        <f>VLOOKUP(C22,'Sales Master'!B$3:D$537,2,)</f>
        <v>Split Green Mung Bean 豆爽</v>
      </c>
      <c r="E22" s="487"/>
      <c r="F22" s="487"/>
      <c r="G22" s="76">
        <v>3</v>
      </c>
      <c r="H22" s="186" t="str">
        <f>VLOOKUP(C22,'Sales Master'!$B$3:$F$2420,5,0)</f>
        <v>5 KG</v>
      </c>
      <c r="I22" s="484" t="str">
        <f>VLOOKUP(C22,'Sales Master'!$B$3:$E$2420,4,0)</f>
        <v>-</v>
      </c>
      <c r="J22" s="484"/>
      <c r="K22" s="184">
        <f>VLOOKUP(C22,'Sales Master'!B$3:R$2756,17,0)</f>
        <v>18</v>
      </c>
      <c r="L22" s="84">
        <f>K22*G22</f>
        <v>54</v>
      </c>
      <c r="M22" s="65"/>
      <c r="N22" s="93"/>
    </row>
    <row r="23" spans="2:17" ht="20.149999999999999" customHeight="1" x14ac:dyDescent="0.45">
      <c r="B23" s="58"/>
      <c r="C23" s="244" t="s">
        <v>837</v>
      </c>
      <c r="D23" s="487" t="str">
        <f>VLOOKUP(C23,'Sales Master'!B$3:D$537,2,)</f>
        <v>Black Glutinous Rice 黑糯米</v>
      </c>
      <c r="E23" s="487"/>
      <c r="F23" s="487"/>
      <c r="G23" s="76">
        <v>1</v>
      </c>
      <c r="H23" s="186" t="str">
        <f>VLOOKUP(C23,'Sales Master'!$B$3:$F$2420,5,0)</f>
        <v>5 KGS</v>
      </c>
      <c r="I23" s="484" t="str">
        <f>VLOOKUP(C23,'Sales Master'!$B$3:$E$2420,4,0)</f>
        <v>-</v>
      </c>
      <c r="J23" s="484"/>
      <c r="K23" s="184">
        <f>VLOOKUP(C23,'Sales Master'!B$3:R$2756,17,0)</f>
        <v>18</v>
      </c>
      <c r="L23" s="84">
        <f t="shared" ref="L23" si="1">K23*G23</f>
        <v>18</v>
      </c>
      <c r="M23" s="65"/>
      <c r="N23" s="93"/>
    </row>
    <row r="24" spans="2:17" ht="20.149999999999999" customHeight="1" x14ac:dyDescent="0.45">
      <c r="B24" s="58"/>
      <c r="C24" s="244" t="s">
        <v>846</v>
      </c>
      <c r="D24" s="487" t="str">
        <f>VLOOKUP(C24,'Sales Master'!B$3:D$537,2,)</f>
        <v>Pearl Barley 薏米</v>
      </c>
      <c r="E24" s="487"/>
      <c r="F24" s="487"/>
      <c r="G24" s="76">
        <v>1</v>
      </c>
      <c r="H24" s="186" t="str">
        <f>VLOOKUP(C24,'Sales Master'!$B$3:$F$2420,5,0)</f>
        <v>5 KG</v>
      </c>
      <c r="I24" s="484" t="str">
        <f>VLOOKUP(C24,'Sales Master'!$B$3:$E$2420,4,0)</f>
        <v>-</v>
      </c>
      <c r="J24" s="484"/>
      <c r="K24" s="184">
        <f>VLOOKUP(C24,'Sales Master'!B$3:R$2756,17,0)</f>
        <v>11</v>
      </c>
      <c r="L24" s="84">
        <f>K24*G24</f>
        <v>11</v>
      </c>
      <c r="M24" s="65"/>
      <c r="N24" s="93"/>
    </row>
    <row r="25" spans="2:17" ht="20.149999999999999" customHeight="1" x14ac:dyDescent="0.45">
      <c r="B25" s="58"/>
      <c r="C25" s="244" t="s">
        <v>853</v>
      </c>
      <c r="D25" s="487" t="str">
        <f>VLOOKUP(C25,'Sales Master'!B$3:D$537,2,)</f>
        <v>Small Sago 小丸</v>
      </c>
      <c r="E25" s="487"/>
      <c r="F25" s="487"/>
      <c r="G25" s="76">
        <v>1</v>
      </c>
      <c r="H25" s="186" t="str">
        <f>VLOOKUP(C25,'Sales Master'!$B$3:$F$2420,5,0)</f>
        <v>5 KG</v>
      </c>
      <c r="I25" s="484" t="str">
        <f>VLOOKUP(C25,'Sales Master'!$B$3:$E$2420,4,0)</f>
        <v>-</v>
      </c>
      <c r="J25" s="484"/>
      <c r="K25" s="184">
        <f>VLOOKUP(C25,'Sales Master'!B$3:R$2756,17,0)</f>
        <v>11</v>
      </c>
      <c r="L25" s="84">
        <f>K25*G25</f>
        <v>11</v>
      </c>
      <c r="M25" s="65"/>
      <c r="N25" s="93"/>
    </row>
    <row r="26" spans="2:17" ht="20.149999999999999" customHeight="1" x14ac:dyDescent="0.45">
      <c r="B26" s="58"/>
      <c r="C26" s="244" t="s">
        <v>863</v>
      </c>
      <c r="D26" s="487" t="str">
        <f>VLOOKUP(C26,'Sales Master'!B$3:D$537,2,)</f>
        <v>Lotus Seed 莲子(无）</v>
      </c>
      <c r="E26" s="487"/>
      <c r="F26" s="487"/>
      <c r="G26" s="76">
        <v>5</v>
      </c>
      <c r="H26" s="186" t="str">
        <f>VLOOKUP(C26,'Sales Master'!$B$3:$F$2420,5,0)</f>
        <v>1 kg</v>
      </c>
      <c r="I26" s="484" t="str">
        <f>VLOOKUP(C26,'Sales Master'!$B$3:$E$2420,4,0)</f>
        <v>中</v>
      </c>
      <c r="J26" s="484"/>
      <c r="K26" s="184">
        <f>VLOOKUP(C26,'Sales Master'!B$3:R$2756,17,0)</f>
        <v>24</v>
      </c>
      <c r="L26" s="84">
        <f t="shared" ref="L26" si="2">K26*G26</f>
        <v>120</v>
      </c>
      <c r="M26" s="65"/>
      <c r="N26" s="93"/>
    </row>
    <row r="27" spans="2:17" ht="20.149999999999999" customHeight="1" x14ac:dyDescent="0.45">
      <c r="B27" s="58"/>
      <c r="C27" s="244" t="s">
        <v>876</v>
      </c>
      <c r="D27" s="487" t="str">
        <f>VLOOKUP(C27,'Sales Master'!B$3:D$537,2,)</f>
        <v>Bean Curd Sheet 腐竹</v>
      </c>
      <c r="E27" s="487"/>
      <c r="F27" s="487"/>
      <c r="G27" s="76">
        <v>10</v>
      </c>
      <c r="H27" s="186" t="str">
        <f>VLOOKUP(C27,'Sales Master'!$B$3:$F$2420,5,0)</f>
        <v xml:space="preserve">150g/pkt </v>
      </c>
      <c r="I27" s="484" t="str">
        <f>VLOOKUP(C27,'Sales Master'!$B$3:$E$2420,4,0)</f>
        <v>生记</v>
      </c>
      <c r="J27" s="484"/>
      <c r="K27" s="184">
        <f>VLOOKUP(C27,'Sales Master'!B$3:R$2756,17,0)</f>
        <v>3.1</v>
      </c>
      <c r="L27" s="84">
        <f>K27*G27</f>
        <v>31</v>
      </c>
      <c r="M27" s="65"/>
      <c r="N27" s="93"/>
    </row>
    <row r="28" spans="2:17" ht="20.149999999999999" customHeight="1" x14ac:dyDescent="0.45">
      <c r="B28" s="58"/>
      <c r="C28" s="244" t="s">
        <v>946</v>
      </c>
      <c r="D28" s="487" t="str">
        <f>VLOOKUP(C28,'Sales Master'!B$3:D$537,2,)</f>
        <v>Carnation Milk 三花淡奶水</v>
      </c>
      <c r="E28" s="487"/>
      <c r="F28" s="487"/>
      <c r="G28" s="76">
        <v>1</v>
      </c>
      <c r="H28" s="186" t="str">
        <f>VLOOKUP(C28,'Sales Master'!$B$3:$F$2420,5,0)</f>
        <v>405 GM x 48/ Ctn箱</v>
      </c>
      <c r="I28" s="484" t="str">
        <f>VLOOKUP(C28,'Sales Master'!$B$3:$E$2420,4,0)</f>
        <v>Threeflower</v>
      </c>
      <c r="J28" s="484"/>
      <c r="K28" s="184">
        <f>VLOOKUP(C28,'Sales Master'!B$3:R$2756,17,0)</f>
        <v>58</v>
      </c>
      <c r="L28" s="84">
        <f t="shared" ref="L28" si="3">K28*G28</f>
        <v>58</v>
      </c>
      <c r="M28" s="65"/>
      <c r="N28" s="93"/>
    </row>
    <row r="29" spans="2:17" ht="20.149999999999999" customHeight="1" x14ac:dyDescent="0.45">
      <c r="B29" s="58"/>
      <c r="C29" s="244" t="s">
        <v>956</v>
      </c>
      <c r="D29" s="487" t="str">
        <f>VLOOKUP(C29,'Sales Master'!B$3:D$537,2,)</f>
        <v>GingKo Nut 白果罐</v>
      </c>
      <c r="E29" s="487"/>
      <c r="F29" s="487"/>
      <c r="G29" s="76">
        <v>2</v>
      </c>
      <c r="H29" s="186" t="str">
        <f>VLOOKUP(C29,'Sales Master'!$B$3:$F$2420,5,0)</f>
        <v>397 GM x 24/ Ctn箱</v>
      </c>
      <c r="I29" s="484" t="str">
        <f>VLOOKUP(C29,'Sales Master'!$B$3:$E$2420,4,0)</f>
        <v>Golden Champ</v>
      </c>
      <c r="J29" s="484"/>
      <c r="K29" s="184">
        <f>VLOOKUP(C29,'Sales Master'!B$3:R$2756,17,0)</f>
        <v>30</v>
      </c>
      <c r="L29" s="84">
        <f>K29*G29</f>
        <v>60</v>
      </c>
      <c r="M29" s="65"/>
      <c r="N29" s="93"/>
    </row>
    <row r="30" spans="2:17" ht="20.149999999999999" customHeight="1" x14ac:dyDescent="0.45">
      <c r="B30" s="58"/>
      <c r="C30" s="244" t="s">
        <v>985</v>
      </c>
      <c r="D30" s="487" t="str">
        <f>VLOOKUP(C30,'Sales Master'!B$3:D$537,2,)</f>
        <v>Rock Sugar 冰糖</v>
      </c>
      <c r="E30" s="487"/>
      <c r="F30" s="487"/>
      <c r="G30" s="76">
        <v>2</v>
      </c>
      <c r="H30" s="186" t="str">
        <f>VLOOKUP(C30,'Sales Master'!$B$3:$F$2420,5,0)</f>
        <v>3 KG</v>
      </c>
      <c r="I30" s="484" t="str">
        <f>VLOOKUP(C30,'Sales Master'!$B$3:$E$2420,4,0)</f>
        <v>Star</v>
      </c>
      <c r="J30" s="484"/>
      <c r="K30" s="184">
        <f>VLOOKUP(C30,'Sales Master'!B$3:R$2756,17,0)</f>
        <v>7</v>
      </c>
      <c r="L30" s="84">
        <f>K30*G30</f>
        <v>14</v>
      </c>
      <c r="M30" s="65"/>
      <c r="N30" s="93"/>
    </row>
    <row r="31" spans="2:17" ht="20.149999999999999" customHeight="1" x14ac:dyDescent="0.45">
      <c r="B31" s="58"/>
      <c r="C31" s="244" t="s">
        <v>990</v>
      </c>
      <c r="D31" s="487" t="str">
        <f>VLOOKUP(C31,'Sales Master'!B$3:D$537,2,)</f>
        <v>Fine Sugar 白糖</v>
      </c>
      <c r="E31" s="487"/>
      <c r="F31" s="487"/>
      <c r="G31" s="76">
        <v>3</v>
      </c>
      <c r="H31" s="186" t="str">
        <f>VLOOKUP(C31,'Sales Master'!$B$3:$F$2420,5,0)</f>
        <v>25 KGS</v>
      </c>
      <c r="I31" s="484" t="str">
        <f>VLOOKUP(C31,'Sales Master'!$B$3:$E$2420,4,0)</f>
        <v>MITR PHOL/ 蜜朋</v>
      </c>
      <c r="J31" s="484"/>
      <c r="K31" s="184">
        <f>VLOOKUP(C31,'Sales Master'!B$3:R$2756,17,0)</f>
        <v>31.5</v>
      </c>
      <c r="L31" s="84">
        <f>K31*G31</f>
        <v>94.5</v>
      </c>
      <c r="M31" s="65"/>
      <c r="N31" s="212"/>
    </row>
    <row r="32" spans="2:17" ht="20.149999999999999" customHeight="1" x14ac:dyDescent="0.45">
      <c r="B32" s="58"/>
      <c r="C32" s="244"/>
      <c r="G32" s="76"/>
      <c r="H32" s="186"/>
      <c r="I32" s="208"/>
      <c r="J32" s="208"/>
      <c r="K32" s="184"/>
      <c r="L32" s="84"/>
      <c r="M32" s="65"/>
      <c r="N32" s="93"/>
    </row>
    <row r="33" spans="2:17" ht="20.149999999999999" customHeight="1" x14ac:dyDescent="0.45">
      <c r="B33" s="58"/>
      <c r="C33" s="149" t="s">
        <v>2296</v>
      </c>
      <c r="D33" s="403"/>
      <c r="E33" s="403"/>
      <c r="F33" s="403"/>
      <c r="G33" s="76"/>
      <c r="H33" s="186"/>
      <c r="I33" s="484"/>
      <c r="J33" s="484"/>
      <c r="K33" s="190"/>
      <c r="L33" s="84"/>
      <c r="M33" s="65"/>
      <c r="N33" s="93"/>
    </row>
    <row r="34" spans="2:17" ht="20.149999999999999" customHeight="1" x14ac:dyDescent="0.45">
      <c r="B34" s="58"/>
      <c r="C34" s="212" t="s">
        <v>745</v>
      </c>
      <c r="D34" s="493" t="str">
        <f>VLOOKUP(C34,'Sales Master'!B$3:D$537,2,)</f>
        <v>Jelly Powder 文头雪粉 (Carrageenan)</v>
      </c>
      <c r="E34" s="493"/>
      <c r="F34" s="493"/>
      <c r="G34" s="17">
        <v>1</v>
      </c>
      <c r="H34" s="186" t="str">
        <f>VLOOKUP(C34,'Sales Master'!$B$3:$F$2420,5,0)</f>
        <v>42gm x 10PKT/Bag</v>
      </c>
      <c r="I34" s="484" t="str">
        <f>VLOOKUP(C34,'Sales Master'!$B$3:$E$2420,4,0)</f>
        <v>500/4000</v>
      </c>
      <c r="J34" s="484"/>
      <c r="K34" s="190">
        <v>28</v>
      </c>
      <c r="L34" s="84"/>
      <c r="M34" s="65"/>
      <c r="N34" s="93"/>
    </row>
    <row r="35" spans="2:17" ht="20.149999999999999" customHeight="1" x14ac:dyDescent="0.45">
      <c r="B35" s="58"/>
      <c r="C35" s="212" t="s">
        <v>849</v>
      </c>
      <c r="D35" s="487" t="str">
        <f>VLOOKUP(C35,'Sales Master'!B$3:D$537,2,)</f>
        <v>Big Sago 大丸</v>
      </c>
      <c r="E35" s="487"/>
      <c r="F35" s="487"/>
      <c r="G35" s="17">
        <v>1</v>
      </c>
      <c r="H35" s="186" t="str">
        <f>VLOOKUP(C35,'Sales Master'!$B$3:$F$2420,5,0)</f>
        <v>5 KG</v>
      </c>
      <c r="I35" s="484" t="str">
        <f>VLOOKUP(C35,'Sales Master'!$B$3:$E$2420,4,0)</f>
        <v>-</v>
      </c>
      <c r="J35" s="484"/>
      <c r="K35" s="184">
        <v>12</v>
      </c>
      <c r="L35" s="84"/>
      <c r="M35" s="65"/>
      <c r="N35" s="93"/>
    </row>
    <row r="36" spans="2:17" ht="20.149999999999999" customHeight="1" x14ac:dyDescent="0.45">
      <c r="B36" s="58"/>
      <c r="C36" s="212" t="s">
        <v>857</v>
      </c>
      <c r="D36" s="487" t="str">
        <f>VLOOKUP(C36,'Sales Master'!B$3:D$537,2,)</f>
        <v>Dried Longan 龙眼干</v>
      </c>
      <c r="E36" s="487"/>
      <c r="F36" s="487"/>
      <c r="G36" s="17">
        <v>1</v>
      </c>
      <c r="H36" s="186" t="str">
        <f>VLOOKUP(C36,'Sales Master'!$B$3:$F$2420,5,0)</f>
        <v>10 KGS</v>
      </c>
      <c r="I36" s="484" t="str">
        <f>VLOOKUP(C36,'Sales Master'!$B$3:$E$2420,4,0)</f>
        <v>中</v>
      </c>
      <c r="J36" s="484"/>
      <c r="K36" s="184">
        <v>125</v>
      </c>
      <c r="L36" s="84"/>
      <c r="M36" s="65"/>
      <c r="N36" s="93"/>
    </row>
    <row r="37" spans="2:17" ht="20.149999999999999" customHeight="1" x14ac:dyDescent="0.45">
      <c r="B37" s="58"/>
      <c r="C37" s="212" t="s">
        <v>936</v>
      </c>
      <c r="D37" s="487" t="str">
        <f>VLOOKUP(C37,'Sales Master'!B$3:D$537,2,)</f>
        <v>Lychee in Syrup 荔枝</v>
      </c>
      <c r="E37" s="487"/>
      <c r="F37" s="487"/>
      <c r="G37" s="17">
        <v>1</v>
      </c>
      <c r="H37" s="186" t="str">
        <f>VLOOKUP(C37,'Sales Master'!$B$3:$F$2420,5,0)</f>
        <v>12can/箱</v>
      </c>
      <c r="I37" s="484" t="str">
        <f>VLOOKUP(C37,'Sales Master'!$B$3:$E$2420,4,0)</f>
        <v>MiLi</v>
      </c>
      <c r="J37" s="484"/>
      <c r="K37" s="184">
        <v>26.5</v>
      </c>
      <c r="L37" s="84"/>
      <c r="M37" s="65"/>
      <c r="N37" s="145"/>
      <c r="O37" s="145"/>
      <c r="P37" s="145"/>
      <c r="Q37" s="63"/>
    </row>
    <row r="38" spans="2:17" ht="20.149999999999999" customHeight="1" thickBot="1" x14ac:dyDescent="0.5">
      <c r="B38" s="47"/>
      <c r="C38" s="33"/>
      <c r="D38" s="48"/>
      <c r="E38" s="48"/>
      <c r="F38" s="48"/>
      <c r="G38" s="48"/>
      <c r="H38" s="48"/>
      <c r="I38" s="48"/>
      <c r="J38" s="48"/>
      <c r="K38" s="48"/>
      <c r="L38" s="49"/>
    </row>
    <row r="39" spans="2:17" ht="20.149999999999999" customHeight="1" x14ac:dyDescent="0.45">
      <c r="B39" s="10" t="s">
        <v>16</v>
      </c>
      <c r="C39" s="229"/>
      <c r="D39" s="6"/>
      <c r="E39" s="6"/>
      <c r="F39" s="6"/>
      <c r="G39" s="6"/>
      <c r="H39" s="6"/>
      <c r="I39" s="6"/>
      <c r="J39" s="489" t="s">
        <v>13</v>
      </c>
      <c r="K39" s="490"/>
      <c r="L39" s="38">
        <f>SUM(L18:L38)</f>
        <v>546</v>
      </c>
      <c r="M39" s="63">
        <f>SUM(P18:P38)</f>
        <v>0</v>
      </c>
      <c r="N39" s="133">
        <f>M39/L39</f>
        <v>0</v>
      </c>
    </row>
    <row r="40" spans="2:17" ht="20.149999999999999" customHeight="1" x14ac:dyDescent="0.45">
      <c r="B40" s="10" t="s">
        <v>17</v>
      </c>
      <c r="C40" s="229"/>
      <c r="D40" s="6"/>
      <c r="E40" s="6"/>
      <c r="F40" s="6"/>
      <c r="G40" s="6"/>
      <c r="H40" s="6"/>
      <c r="I40" s="6"/>
      <c r="J40" s="39" t="s">
        <v>20</v>
      </c>
      <c r="K40" s="40"/>
      <c r="L40" s="41">
        <v>0</v>
      </c>
    </row>
    <row r="41" spans="2:17" ht="20.149999999999999" customHeight="1" x14ac:dyDescent="0.45">
      <c r="B41" s="10" t="s">
        <v>18</v>
      </c>
      <c r="C41" s="229"/>
      <c r="D41" s="6"/>
      <c r="E41" s="6"/>
      <c r="F41" s="6"/>
      <c r="G41" s="6"/>
      <c r="H41" s="6"/>
      <c r="I41" s="6"/>
      <c r="J41" s="491" t="s">
        <v>19</v>
      </c>
      <c r="K41" s="492"/>
      <c r="L41" s="41">
        <f>L39-L40</f>
        <v>546</v>
      </c>
    </row>
    <row r="42" spans="2:17" ht="20.149999999999999" customHeight="1" x14ac:dyDescent="0.45">
      <c r="B42" s="10" t="s">
        <v>22</v>
      </c>
      <c r="C42" s="229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49.14</v>
      </c>
    </row>
    <row r="43" spans="2:17" ht="20.149999999999999" customHeight="1" thickBot="1" x14ac:dyDescent="0.5">
      <c r="B43" s="10" t="s">
        <v>676</v>
      </c>
      <c r="C43" s="229"/>
      <c r="D43" s="6"/>
      <c r="E43" s="6"/>
      <c r="F43" s="6"/>
      <c r="G43" s="6"/>
      <c r="H43" s="6"/>
      <c r="I43" s="6"/>
      <c r="J43" s="485" t="s">
        <v>21</v>
      </c>
      <c r="K43" s="486"/>
      <c r="L43" s="43">
        <f>L41+L42</f>
        <v>595.14</v>
      </c>
    </row>
    <row r="44" spans="2:17" ht="20.149999999999999" customHeight="1" x14ac:dyDescent="0.45">
      <c r="B44" s="10" t="s">
        <v>24</v>
      </c>
      <c r="C44" s="229"/>
      <c r="D44" s="6"/>
      <c r="E44" s="6"/>
      <c r="F44" s="6"/>
      <c r="G44" s="6"/>
      <c r="H44" s="6"/>
      <c r="I44" s="6"/>
      <c r="L44" s="37"/>
    </row>
    <row r="45" spans="2:17" ht="20.149999999999999" customHeight="1" x14ac:dyDescent="0.45">
      <c r="B45" s="144" t="s">
        <v>666</v>
      </c>
      <c r="L45" s="37"/>
    </row>
    <row r="46" spans="2:17" ht="20.149999999999999" customHeight="1" x14ac:dyDescent="0.45">
      <c r="B46" s="36"/>
      <c r="L46" s="37"/>
    </row>
    <row r="47" spans="2:17" ht="20.149999999999999" customHeight="1" x14ac:dyDescent="0.45">
      <c r="B47" s="36"/>
      <c r="L47" s="37"/>
    </row>
    <row r="48" spans="2:17" ht="20.149999999999999" customHeight="1" x14ac:dyDescent="0.45">
      <c r="B48" s="36"/>
      <c r="L48" s="37"/>
    </row>
    <row r="49" spans="2:12" ht="20.149999999999999" customHeight="1" x14ac:dyDescent="0.45">
      <c r="B49" s="44"/>
      <c r="C49" s="10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33"/>
      <c r="D51" s="48"/>
      <c r="E51" s="48"/>
      <c r="F51" s="48"/>
      <c r="G51" s="48"/>
      <c r="H51" s="48"/>
      <c r="I51" s="48"/>
      <c r="J51" s="48"/>
      <c r="K51" s="48"/>
      <c r="L51" s="49"/>
    </row>
    <row r="52" spans="2:12" ht="20.5" x14ac:dyDescent="0.45">
      <c r="F52" s="202"/>
    </row>
    <row r="53" spans="2:12" x14ac:dyDescent="0.45">
      <c r="B53" s="93" t="s">
        <v>1264</v>
      </c>
      <c r="C53" s="17" t="s">
        <v>734</v>
      </c>
      <c r="D53" s="487" t="str">
        <f>VLOOKUP(C53,'Sales Master'!B$3:D$537,2,)</f>
        <v>Q Ball Q圆</v>
      </c>
      <c r="E53" s="487"/>
      <c r="F53" s="487"/>
      <c r="G53" s="19">
        <v>1</v>
      </c>
      <c r="H53" s="186" t="str">
        <f>VLOOKUP(C53,'Sales Master'!$B$3:$F$2420,5,0)</f>
        <v>1 KG/ Bag包</v>
      </c>
      <c r="I53" s="519" t="str">
        <f>VLOOKUP(C53,'Sales Master'!$B$3:$E$2420,4,0)</f>
        <v>FJ</v>
      </c>
      <c r="J53" s="519"/>
      <c r="K53" s="184">
        <f>VLOOKUP(C53,'Sales Master'!B$3:R$2756,17,0)</f>
        <v>6</v>
      </c>
    </row>
    <row r="54" spans="2:12" x14ac:dyDescent="0.45">
      <c r="B54" s="93" t="s">
        <v>1263</v>
      </c>
      <c r="C54" s="17" t="s">
        <v>786</v>
      </c>
      <c r="D54" s="487" t="str">
        <f>VLOOKUP(C54,'Sales Master'!B$3:D$537,2,)</f>
        <v>Tapioca Flour 茨粉</v>
      </c>
      <c r="E54" s="487"/>
      <c r="F54" s="487"/>
      <c r="G54" s="19">
        <v>1</v>
      </c>
      <c r="H54" s="186" t="str">
        <f>VLOOKUP(C54,'Sales Master'!$B$3:$F$2420,5,0)</f>
        <v xml:space="preserve">500 GM/pkt </v>
      </c>
      <c r="I54" s="519" t="str">
        <f>VLOOKUP(C54,'Sales Master'!$B$3:$E$2420,4,0)</f>
        <v>F/man 飞人</v>
      </c>
      <c r="J54" s="519"/>
      <c r="K54" s="184">
        <f>VLOOKUP(C54,'Sales Master'!B$3:R$2756,17,0)</f>
        <v>0.9</v>
      </c>
      <c r="L54" s="83"/>
    </row>
    <row r="55" spans="2:12" x14ac:dyDescent="0.45">
      <c r="B55" s="93" t="s">
        <v>1271</v>
      </c>
      <c r="C55" s="17" t="s">
        <v>732</v>
      </c>
      <c r="D55" s="487" t="str">
        <f>VLOOKUP(C55,'Sales Master'!B$3:D$537,2,)</f>
        <v>3Q Konjac Jelly</v>
      </c>
      <c r="E55" s="487"/>
      <c r="F55" s="487"/>
      <c r="G55" s="19">
        <v>1</v>
      </c>
      <c r="H55" s="186" t="str">
        <f>VLOOKUP(C55,'Sales Master'!$B$3:$F$2420,5,0)</f>
        <v>4 KG/ Tub桶</v>
      </c>
      <c r="I55" s="519" t="str">
        <f>VLOOKUP(C55,'Sales Master'!$B$3:$E$2420,4,0)</f>
        <v>T1</v>
      </c>
      <c r="J55" s="519"/>
      <c r="K55" s="184">
        <f>VLOOKUP(C55,'Sales Master'!B$3:R$2756,17,0)</f>
        <v>15</v>
      </c>
    </row>
  </sheetData>
  <mergeCells count="64">
    <mergeCell ref="B1:L8"/>
    <mergeCell ref="D17:F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I30:J30"/>
    <mergeCell ref="D30:F30"/>
    <mergeCell ref="J43:K43"/>
    <mergeCell ref="J41:K41"/>
    <mergeCell ref="J39:K39"/>
    <mergeCell ref="D37:F37"/>
    <mergeCell ref="I37:J37"/>
    <mergeCell ref="I34:J34"/>
    <mergeCell ref="D35:F35"/>
    <mergeCell ref="I35:J35"/>
    <mergeCell ref="D36:F36"/>
    <mergeCell ref="I36:J36"/>
    <mergeCell ref="D31:F31"/>
    <mergeCell ref="I31:J31"/>
    <mergeCell ref="I33:J33"/>
    <mergeCell ref="D34:F34"/>
    <mergeCell ref="D55:F55"/>
    <mergeCell ref="I55:J55"/>
    <mergeCell ref="D54:F54"/>
    <mergeCell ref="I54:J54"/>
    <mergeCell ref="D53:F53"/>
    <mergeCell ref="I53:J53"/>
    <mergeCell ref="O12:Q12"/>
    <mergeCell ref="O13:Q13"/>
    <mergeCell ref="O14:Q14"/>
    <mergeCell ref="I18:J18"/>
    <mergeCell ref="I17:J17"/>
    <mergeCell ref="O18:Q18"/>
    <mergeCell ref="I29:J29"/>
    <mergeCell ref="D23:F23"/>
    <mergeCell ref="I23:J23"/>
    <mergeCell ref="D26:F26"/>
    <mergeCell ref="D20:F20"/>
    <mergeCell ref="I26:J26"/>
    <mergeCell ref="I20:J20"/>
    <mergeCell ref="D21:F21"/>
    <mergeCell ref="D29:F29"/>
    <mergeCell ref="I22:J22"/>
    <mergeCell ref="D24:F24"/>
    <mergeCell ref="I21:J21"/>
    <mergeCell ref="D22:F22"/>
    <mergeCell ref="I24:J24"/>
    <mergeCell ref="I28:J28"/>
    <mergeCell ref="D28:F28"/>
    <mergeCell ref="D18:F18"/>
    <mergeCell ref="I25:J25"/>
    <mergeCell ref="D25:F25"/>
    <mergeCell ref="I27:J27"/>
    <mergeCell ref="D27:F27"/>
    <mergeCell ref="I19:J19"/>
    <mergeCell ref="D19:F19"/>
  </mergeCells>
  <conditionalFormatting sqref="C19:C32">
    <cfRule type="duplicateValues" dxfId="186" priority="2757"/>
  </conditionalFormatting>
  <conditionalFormatting sqref="C33">
    <cfRule type="duplicateValues" dxfId="185" priority="1"/>
  </conditionalFormatting>
  <pageMargins left="0.70866141732283472" right="0.31496062992125984" top="0.23622047244094491" bottom="0.23622047244094491" header="0.31496062992125984" footer="0.31496062992125984"/>
  <pageSetup paperSize="9" scale="71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08062-EDCE-4D2F-B609-954DD91975B2}">
  <sheetPr>
    <tabColor rgb="FF7030A0"/>
    <pageSetUpPr fitToPage="1"/>
  </sheetPr>
  <dimension ref="B1:P48"/>
  <sheetViews>
    <sheetView topLeftCell="A9" workbookViewId="0">
      <selection activeCell="B1" sqref="B1:L4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26953125" style="19" customWidth="1"/>
    <col min="9" max="9" width="2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346">
        <v>0.09</v>
      </c>
    </row>
    <row r="2" spans="2:13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3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3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3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3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3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3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423</v>
      </c>
      <c r="J10" s="24" t="s">
        <v>27</v>
      </c>
      <c r="K10" s="464">
        <v>202410197</v>
      </c>
      <c r="L10" s="465"/>
    </row>
    <row r="11" spans="2:13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 - DESSERT                                            Block 478 Tampines Street 44                       #01-221 Singapore 250478                                               </v>
      </c>
      <c r="G11" s="470"/>
      <c r="H11" s="471"/>
      <c r="J11" s="26" t="s">
        <v>9</v>
      </c>
      <c r="K11" s="478">
        <v>45573</v>
      </c>
      <c r="L11" s="479"/>
    </row>
    <row r="12" spans="2:13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3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3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3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119" t="s">
        <v>587</v>
      </c>
      <c r="L15" s="118"/>
    </row>
    <row r="16" spans="2:13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698</v>
      </c>
      <c r="D18" s="463" t="str">
        <f>VLOOKUP(C18,'Sales Master'!B$3:D$537,2,)</f>
        <v xml:space="preserve">Fresh Soursop 红毛榴莲 </v>
      </c>
      <c r="E18" s="463"/>
      <c r="F18" s="463"/>
      <c r="G18" s="17">
        <v>1</v>
      </c>
      <c r="H18" s="186" t="str">
        <f>VLOOKUP(C18,'Sales Master'!$B$3:$F$2420,5,0)</f>
        <v>GW:5 KG/ Tub桶</v>
      </c>
      <c r="I18" s="484" t="str">
        <f>VLOOKUP(C18,'Sales Master'!$B$3:$E$2420,4,0)</f>
        <v>DO!</v>
      </c>
      <c r="J18" s="484"/>
      <c r="K18" s="30">
        <f>VLOOKUP(C18,'Sales Master'!$B$3:$CM$537,90,0)</f>
        <v>31</v>
      </c>
      <c r="L18" s="64">
        <f>K18*G18</f>
        <v>31</v>
      </c>
      <c r="N18" s="145">
        <f>VLOOKUP(C18,'Sales Master'!$B$3:$DA$2279,104,0)</f>
        <v>25.63</v>
      </c>
      <c r="O18" s="145">
        <f>K18-N18</f>
        <v>5.370000000000001</v>
      </c>
      <c r="P18" s="145">
        <f>O18*G18</f>
        <v>5.370000000000001</v>
      </c>
    </row>
    <row r="19" spans="2:16" ht="20.149999999999999" customHeight="1" x14ac:dyDescent="0.45">
      <c r="B19" s="29"/>
      <c r="C19" s="212" t="s">
        <v>807</v>
      </c>
      <c r="D19" s="493" t="str">
        <f>VLOOKUP(C19,'Sales Master'!B$3:D$537,2,)</f>
        <v>Chin Chow  仙草</v>
      </c>
      <c r="E19" s="493"/>
      <c r="F19" s="493"/>
      <c r="G19" s="17">
        <v>4</v>
      </c>
      <c r="H19" s="186" t="str">
        <f>VLOOKUP(C19,'Sales Master'!$B$3:$F$2420,5,0)</f>
        <v>4 KG/ Pkt包</v>
      </c>
      <c r="I19" s="484" t="str">
        <f>VLOOKUP(C19,'Sales Master'!$B$3:$E$2420,4,0)</f>
        <v>TSM</v>
      </c>
      <c r="J19" s="484"/>
      <c r="K19" s="30">
        <f>VLOOKUP(C19,'Sales Master'!$B$3:$CM$537,90,0)</f>
        <v>6</v>
      </c>
      <c r="L19" s="64">
        <f>K19*G19</f>
        <v>24</v>
      </c>
      <c r="N19" s="145"/>
      <c r="O19" s="145"/>
      <c r="P19" s="145"/>
    </row>
    <row r="20" spans="2:16" ht="20.149999999999999" customHeight="1" x14ac:dyDescent="0.45">
      <c r="B20" s="29"/>
      <c r="C20" s="212" t="s">
        <v>713</v>
      </c>
      <c r="D20" s="493" t="str">
        <f>VLOOKUP(C20,'Sales Master'!B$3:D$537,2,)</f>
        <v>Chendol 浆咯</v>
      </c>
      <c r="E20" s="493"/>
      <c r="F20" s="493"/>
      <c r="G20" s="17">
        <v>4</v>
      </c>
      <c r="H20" s="186" t="str">
        <f>VLOOKUP(C20,'Sales Master'!$B$3:$F$2420,5,0)</f>
        <v>NW(2.2:0.8) 3kg/ Pkt包</v>
      </c>
      <c r="I20" s="484" t="str">
        <f>VLOOKUP(C20,'Sales Master'!$B$3:$E$2420,4,0)</f>
        <v>DO!</v>
      </c>
      <c r="J20" s="484"/>
      <c r="K20" s="30">
        <f>VLOOKUP(C20,'Sales Master'!$B$3:$CM$537,90,0)</f>
        <v>6.5</v>
      </c>
      <c r="L20" s="64">
        <f>K20*G20</f>
        <v>26</v>
      </c>
      <c r="N20" s="145"/>
      <c r="O20" s="145"/>
      <c r="P20" s="145"/>
    </row>
    <row r="21" spans="2:16" ht="20.149999999999999" customHeight="1" x14ac:dyDescent="0.45">
      <c r="B21" s="29"/>
      <c r="C21" s="212" t="s">
        <v>880</v>
      </c>
      <c r="D21" s="493" t="str">
        <f>VLOOKUP(C21,'Sales Master'!B$3:D$537,2,)</f>
        <v>Wolfberry 枸杞子</v>
      </c>
      <c r="E21" s="493"/>
      <c r="F21" s="493"/>
      <c r="G21" s="17">
        <v>1</v>
      </c>
      <c r="H21" s="186" t="str">
        <f>VLOOKUP(C21,'Sales Master'!$B$3:$F$2420,5,0)</f>
        <v>500 GM X 2 PKT</v>
      </c>
      <c r="I21" s="484" t="str">
        <f>VLOOKUP(C21,'Sales Master'!$B$3:$E$2420,4,0)</f>
        <v>-</v>
      </c>
      <c r="J21" s="484"/>
      <c r="K21" s="30">
        <f>VLOOKUP(C21,'Sales Master'!$B$3:$CM$537,90,0)</f>
        <v>16</v>
      </c>
      <c r="L21" s="64">
        <f t="shared" ref="L21:L23" si="0">K21*G21</f>
        <v>16</v>
      </c>
      <c r="N21" s="145"/>
      <c r="O21" s="145"/>
      <c r="P21" s="145"/>
    </row>
    <row r="22" spans="2:16" ht="20.149999999999999" customHeight="1" x14ac:dyDescent="0.45">
      <c r="B22" s="29"/>
      <c r="C22" s="212" t="s">
        <v>856</v>
      </c>
      <c r="D22" s="493" t="str">
        <f>VLOOKUP(C22,'Sales Master'!B$3:D$537,2,)</f>
        <v>Dried Longan 龙眼干</v>
      </c>
      <c r="E22" s="493"/>
      <c r="F22" s="493"/>
      <c r="G22" s="17">
        <v>1</v>
      </c>
      <c r="H22" s="186" t="str">
        <f>VLOOKUP(C22,'Sales Master'!$B$3:$F$2420,5,0)</f>
        <v>1 kg/ Pkt包</v>
      </c>
      <c r="I22" s="484" t="str">
        <f>VLOOKUP(C22,'Sales Master'!$B$3:$E$2420,4,0)</f>
        <v>TL</v>
      </c>
      <c r="J22" s="484"/>
      <c r="K22" s="30">
        <f>VLOOKUP(C22,'Sales Master'!$B$3:$CM$537,90,0)</f>
        <v>12</v>
      </c>
      <c r="L22" s="64">
        <f t="shared" si="0"/>
        <v>12</v>
      </c>
      <c r="N22" s="145"/>
      <c r="O22" s="145"/>
      <c r="P22" s="145"/>
    </row>
    <row r="23" spans="2:16" ht="20.149999999999999" customHeight="1" x14ac:dyDescent="0.45">
      <c r="B23" s="29"/>
      <c r="C23" s="212" t="s">
        <v>1153</v>
      </c>
      <c r="D23" s="493" t="str">
        <f>VLOOKUP(C23,'Sales Master'!B$3:D$537,2,)</f>
        <v>Fruit Cocktail 杂果</v>
      </c>
      <c r="E23" s="493"/>
      <c r="F23" s="493"/>
      <c r="G23" s="17">
        <v>1</v>
      </c>
      <c r="H23" s="186" t="str">
        <f>VLOOKUP(C23,'Sales Master'!$B$3:$F$2420,5,0)</f>
        <v>(836gm x 12)/ Ctn箱</v>
      </c>
      <c r="I23" s="484" t="str">
        <f>VLOOKUP(C23,'Sales Master'!$B$3:$E$2420,4,0)</f>
        <v>Hosen</v>
      </c>
      <c r="J23" s="484"/>
      <c r="K23" s="30">
        <f>VLOOKUP(C23,'Sales Master'!$B$3:$CM$537,90,0)</f>
        <v>25</v>
      </c>
      <c r="L23" s="64">
        <f t="shared" si="0"/>
        <v>25</v>
      </c>
      <c r="N23" s="145"/>
      <c r="O23" s="145"/>
      <c r="P23" s="145"/>
    </row>
    <row r="24" spans="2:16" ht="20.149999999999999" customHeight="1" x14ac:dyDescent="0.45">
      <c r="B24" s="29"/>
      <c r="C24" s="212"/>
      <c r="D24" s="493"/>
      <c r="E24" s="493"/>
      <c r="F24" s="493"/>
      <c r="G24" s="17"/>
      <c r="H24" s="186"/>
      <c r="I24" s="484"/>
      <c r="J24" s="484"/>
      <c r="K24" s="30"/>
      <c r="L24" s="64"/>
      <c r="N24" s="145"/>
      <c r="O24" s="145"/>
      <c r="P24" s="145"/>
    </row>
    <row r="25" spans="2:16" ht="20.149999999999999" customHeight="1" x14ac:dyDescent="0.45">
      <c r="B25" s="29"/>
      <c r="C25" s="212"/>
      <c r="D25" s="493"/>
      <c r="E25" s="493"/>
      <c r="F25" s="493"/>
      <c r="G25" s="17"/>
      <c r="H25" s="186"/>
      <c r="I25" s="484"/>
      <c r="J25" s="484"/>
      <c r="K25" s="30"/>
      <c r="L25" s="64"/>
      <c r="N25" s="145"/>
      <c r="O25" s="145"/>
      <c r="P25" s="145"/>
    </row>
    <row r="26" spans="2:16" ht="20.149999999999999" customHeight="1" x14ac:dyDescent="0.45">
      <c r="B26" s="29"/>
      <c r="C26" s="212"/>
      <c r="D26" s="493"/>
      <c r="E26" s="493"/>
      <c r="F26" s="493"/>
      <c r="G26" s="17"/>
      <c r="H26" s="186"/>
      <c r="I26" s="484"/>
      <c r="J26" s="484"/>
      <c r="K26" s="30"/>
      <c r="L26" s="64"/>
      <c r="N26" s="145"/>
      <c r="O26" s="145"/>
      <c r="P26" s="145"/>
    </row>
    <row r="27" spans="2:16" ht="20.149999999999999" customHeight="1" x14ac:dyDescent="0.45">
      <c r="B27" s="29"/>
      <c r="C27" s="149" t="s">
        <v>2271</v>
      </c>
      <c r="D27" s="403"/>
      <c r="E27" s="403"/>
      <c r="F27" s="403"/>
      <c r="G27" s="76"/>
      <c r="H27" s="186"/>
      <c r="I27" s="484"/>
      <c r="J27" s="484"/>
      <c r="K27" s="190"/>
      <c r="L27" s="64"/>
      <c r="N27" s="145"/>
      <c r="O27" s="145"/>
      <c r="P27" s="145"/>
    </row>
    <row r="28" spans="2:16" ht="20.149999999999999" customHeight="1" x14ac:dyDescent="0.45">
      <c r="B28" s="29"/>
      <c r="C28" s="212" t="s">
        <v>966</v>
      </c>
      <c r="D28" s="493" t="e">
        <f>VLOOKUP(C28,#REF!,2,0)</f>
        <v>#REF!</v>
      </c>
      <c r="E28" s="493"/>
      <c r="F28" s="493"/>
      <c r="G28" s="17">
        <v>1</v>
      </c>
      <c r="H28" s="186" t="e">
        <f>VLOOKUP(C28,#REF!,5,0)</f>
        <v>#REF!</v>
      </c>
      <c r="I28" s="484" t="e">
        <f>VLOOKUP(C28,#REF!,4,0)</f>
        <v>#REF!</v>
      </c>
      <c r="J28" s="484"/>
      <c r="K28" s="190">
        <v>48</v>
      </c>
      <c r="L28" s="64"/>
      <c r="N28" s="145"/>
      <c r="O28" s="145"/>
      <c r="P28" s="145"/>
    </row>
    <row r="29" spans="2:16" ht="20.149999999999999" customHeight="1" x14ac:dyDescent="0.45">
      <c r="B29" s="29"/>
      <c r="C29" s="212"/>
      <c r="D29" s="493"/>
      <c r="E29" s="493"/>
      <c r="F29" s="493"/>
      <c r="G29" s="17"/>
      <c r="H29" s="186"/>
      <c r="I29" s="484"/>
      <c r="J29" s="484"/>
      <c r="K29" s="30"/>
      <c r="L29" s="64"/>
      <c r="N29" s="145"/>
      <c r="O29" s="145"/>
      <c r="P29" s="145"/>
    </row>
    <row r="30" spans="2:16" ht="20.149999999999999" customHeight="1" x14ac:dyDescent="0.45">
      <c r="B30" s="29"/>
      <c r="C30" s="212"/>
      <c r="D30" s="493"/>
      <c r="E30" s="493"/>
      <c r="F30" s="493"/>
      <c r="G30" s="17"/>
      <c r="H30" s="186"/>
      <c r="I30" s="484"/>
      <c r="J30" s="484"/>
      <c r="K30" s="30"/>
      <c r="L30" s="64"/>
      <c r="N30" s="145"/>
      <c r="O30" s="145"/>
      <c r="P30" s="145"/>
    </row>
    <row r="31" spans="2:16" ht="20.149999999999999" customHeight="1" x14ac:dyDescent="0.45">
      <c r="B31" s="29"/>
      <c r="C31" s="212"/>
      <c r="D31" s="493"/>
      <c r="E31" s="493"/>
      <c r="F31" s="493"/>
      <c r="G31" s="17"/>
      <c r="H31" s="186"/>
      <c r="I31" s="484"/>
      <c r="J31" s="484"/>
      <c r="K31" s="30"/>
      <c r="L31" s="64"/>
      <c r="N31" s="145"/>
      <c r="O31" s="145"/>
      <c r="P31" s="145"/>
    </row>
    <row r="32" spans="2:16" ht="20.149999999999999" customHeight="1" x14ac:dyDescent="0.45">
      <c r="B32" s="29"/>
      <c r="C32" s="212"/>
      <c r="D32" s="147"/>
      <c r="E32" s="147"/>
      <c r="F32" s="147"/>
      <c r="G32" s="17"/>
      <c r="H32" s="186"/>
      <c r="I32" s="208"/>
      <c r="J32" s="208"/>
      <c r="K32" s="30"/>
      <c r="L32" s="64"/>
      <c r="N32" s="145"/>
      <c r="O32" s="145"/>
      <c r="P32" s="145"/>
    </row>
    <row r="33" spans="2:16" ht="20.149999999999999" customHeight="1" x14ac:dyDescent="0.45">
      <c r="B33" s="29"/>
      <c r="C33" s="212"/>
      <c r="D33" s="493"/>
      <c r="E33" s="493"/>
      <c r="F33" s="493"/>
      <c r="G33" s="17"/>
      <c r="H33" s="186"/>
      <c r="I33" s="484"/>
      <c r="J33" s="484"/>
      <c r="K33" s="30"/>
      <c r="L33" s="64"/>
      <c r="N33" s="145"/>
      <c r="O33" s="145"/>
      <c r="P33" s="145"/>
    </row>
    <row r="34" spans="2:16" ht="20.149999999999999" customHeight="1" thickBot="1" x14ac:dyDescent="0.5">
      <c r="B34" s="32"/>
      <c r="C34" s="33"/>
      <c r="D34" s="488"/>
      <c r="E34" s="488"/>
      <c r="F34" s="488"/>
      <c r="G34" s="33"/>
      <c r="H34" s="33"/>
      <c r="I34" s="33"/>
      <c r="J34" s="33"/>
      <c r="K34" s="34"/>
      <c r="L34" s="35"/>
    </row>
    <row r="35" spans="2:16" ht="20.149999999999999" customHeight="1" thickBot="1" x14ac:dyDescent="0.5">
      <c r="B35" s="36"/>
      <c r="L35" s="37"/>
    </row>
    <row r="36" spans="2:16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89" t="s">
        <v>13</v>
      </c>
      <c r="K36" s="490"/>
      <c r="L36" s="38">
        <f>SUM(L17:L34)</f>
        <v>134</v>
      </c>
      <c r="M36" s="63">
        <f>SUM(P7:P35)</f>
        <v>5.370000000000001</v>
      </c>
      <c r="N36" s="133">
        <f>M36/L36</f>
        <v>4.0074626865671648E-2</v>
      </c>
    </row>
    <row r="37" spans="2:16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6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91" t="s">
        <v>19</v>
      </c>
      <c r="K38" s="492"/>
      <c r="L38" s="41">
        <f>L36-L37</f>
        <v>134</v>
      </c>
      <c r="M38" s="63"/>
    </row>
    <row r="39" spans="2:16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12.059999999999999</v>
      </c>
    </row>
    <row r="40" spans="2:16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6"/>
      <c r="J40" s="485" t="s">
        <v>21</v>
      </c>
      <c r="K40" s="486"/>
      <c r="L40" s="43">
        <f>L38+L39</f>
        <v>146.06</v>
      </c>
    </row>
    <row r="41" spans="2:16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6" ht="20.149999999999999" customHeight="1" x14ac:dyDescent="0.45">
      <c r="B42" s="36"/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44"/>
      <c r="C46" s="45"/>
      <c r="D46" s="45"/>
      <c r="J46" s="45"/>
      <c r="K46" s="45"/>
      <c r="L46" s="46"/>
    </row>
    <row r="47" spans="2:16" ht="20.149999999999999" customHeight="1" x14ac:dyDescent="0.45">
      <c r="B47" s="36" t="s">
        <v>25</v>
      </c>
      <c r="J47" s="19" t="s">
        <v>26</v>
      </c>
      <c r="L47" s="37"/>
    </row>
    <row r="48" spans="2:16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47">
    <mergeCell ref="J38:K38"/>
    <mergeCell ref="J40:K40"/>
    <mergeCell ref="D30:F30"/>
    <mergeCell ref="D34:F34"/>
    <mergeCell ref="I33:J33"/>
    <mergeCell ref="J36:K36"/>
    <mergeCell ref="I30:J30"/>
    <mergeCell ref="I31:J31"/>
    <mergeCell ref="D33:F33"/>
    <mergeCell ref="D31:F31"/>
    <mergeCell ref="D29:F29"/>
    <mergeCell ref="D25:F25"/>
    <mergeCell ref="I29:J29"/>
    <mergeCell ref="I25:J25"/>
    <mergeCell ref="D22:F22"/>
    <mergeCell ref="I22:J22"/>
    <mergeCell ref="D24:F24"/>
    <mergeCell ref="D28:F28"/>
    <mergeCell ref="I24:J24"/>
    <mergeCell ref="I28:J28"/>
    <mergeCell ref="I23:J23"/>
    <mergeCell ref="D23:F23"/>
    <mergeCell ref="I27:J27"/>
    <mergeCell ref="D17:F17"/>
    <mergeCell ref="I17:J17"/>
    <mergeCell ref="D18:F18"/>
    <mergeCell ref="I18:J18"/>
    <mergeCell ref="D26:F26"/>
    <mergeCell ref="I26:J26"/>
    <mergeCell ref="D19:F19"/>
    <mergeCell ref="I19:J19"/>
    <mergeCell ref="D21:F21"/>
    <mergeCell ref="D20:F20"/>
    <mergeCell ref="I20:J20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27">
    <cfRule type="duplicateValues" dxfId="184" priority="1"/>
  </conditionalFormatting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764E0-8A1D-4BFD-9A47-0174D0C3F149}">
  <sheetPr codeName="Sheet180">
    <tabColor rgb="FFFFC000"/>
    <pageSetUpPr fitToPage="1"/>
  </sheetPr>
  <dimension ref="B1:P45"/>
  <sheetViews>
    <sheetView topLeftCell="A7" zoomScaleNormal="100" workbookViewId="0">
      <selection activeCell="B1" sqref="B1:L4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3.45312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425</v>
      </c>
      <c r="J10" s="24" t="s">
        <v>27</v>
      </c>
      <c r="K10" s="464">
        <v>202311166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Punggol OASIS (Gourmet Paradise) - Fruits Stall                                              681 Punggol Drive #04-01               OASIS Terraces, Singapore 820681</v>
      </c>
      <c r="G11" s="470"/>
      <c r="H11" s="471"/>
      <c r="J11" s="26" t="s">
        <v>9</v>
      </c>
      <c r="K11" s="478">
        <v>45237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937</v>
      </c>
      <c r="D18" s="487" t="str">
        <f>VLOOKUP(C18,'Sales Master'!B$3:D$537,2,)</f>
        <v>Lychee in Syrup 荔枝</v>
      </c>
      <c r="E18" s="487"/>
      <c r="F18" s="487"/>
      <c r="G18" s="76">
        <v>1</v>
      </c>
      <c r="H18" s="188" t="str">
        <f>VLOOKUP(C18,'Sales Master'!$B$3:$F$2488,5,0)</f>
        <v>12 CAN/CARTON</v>
      </c>
      <c r="I18" s="484" t="str">
        <f>VLOOKUP(C18,'Sales Master'!$B$3:$E$2488,4,0)</f>
        <v>Statue</v>
      </c>
      <c r="J18" s="484"/>
      <c r="K18" s="30">
        <f>VLOOKUP(C18,'Sales Master'!B$3:AT$537,45,0)</f>
        <v>22</v>
      </c>
      <c r="L18" s="64">
        <f>K18*G18</f>
        <v>22</v>
      </c>
      <c r="M18" s="65"/>
      <c r="N18" s="145">
        <f>VLOOKUP(C18,'Sales Master'!$B$3:$DA$2279,104,0)</f>
        <v>16.5</v>
      </c>
      <c r="O18" s="145">
        <f>K18-N18</f>
        <v>5.5</v>
      </c>
      <c r="P18" s="145">
        <f>O18*G18</f>
        <v>5.5</v>
      </c>
    </row>
    <row r="19" spans="2:16" ht="20.149999999999999" customHeight="1" x14ac:dyDescent="0.45">
      <c r="B19" s="29"/>
      <c r="C19" s="17"/>
      <c r="D19" s="487"/>
      <c r="E19" s="487"/>
      <c r="F19" s="487"/>
      <c r="G19" s="76"/>
      <c r="H19" s="188"/>
      <c r="I19" s="484"/>
      <c r="J19" s="484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87"/>
      <c r="E20" s="487"/>
      <c r="F20" s="487"/>
      <c r="G20" s="76"/>
      <c r="H20" s="188"/>
      <c r="I20" s="484"/>
      <c r="J20" s="484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87"/>
      <c r="E21" s="487"/>
      <c r="F21" s="487"/>
      <c r="G21" s="76"/>
      <c r="H21" s="188"/>
      <c r="I21" s="484"/>
      <c r="J21" s="484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87"/>
      <c r="E22" s="487"/>
      <c r="F22" s="487"/>
      <c r="G22" s="76"/>
      <c r="H22" s="188"/>
      <c r="I22" s="484"/>
      <c r="J22" s="484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87"/>
      <c r="E23" s="487"/>
      <c r="F23" s="487"/>
      <c r="G23" s="76"/>
      <c r="H23" s="188"/>
      <c r="I23" s="484"/>
      <c r="J23" s="484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87"/>
      <c r="E24" s="487"/>
      <c r="F24" s="487"/>
      <c r="G24" s="76"/>
      <c r="H24" s="188"/>
      <c r="I24" s="484"/>
      <c r="J24" s="484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87"/>
      <c r="E25" s="487"/>
      <c r="F25" s="487"/>
      <c r="G25" s="76"/>
      <c r="H25" s="188"/>
      <c r="I25" s="484"/>
      <c r="J25" s="484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87"/>
      <c r="E26" s="487"/>
      <c r="F26" s="487"/>
      <c r="G26" s="76"/>
      <c r="H26" s="188"/>
      <c r="I26" s="484"/>
      <c r="J26" s="484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87"/>
      <c r="E27" s="487"/>
      <c r="F27" s="487"/>
      <c r="G27" s="76"/>
      <c r="H27" s="188"/>
      <c r="I27" s="484"/>
      <c r="J27" s="484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D28" s="487"/>
      <c r="E28" s="487"/>
      <c r="F28" s="487"/>
      <c r="G28" s="76"/>
      <c r="H28" s="188"/>
      <c r="I28" s="484"/>
      <c r="J28" s="484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17"/>
      <c r="D29" s="487"/>
      <c r="E29" s="487"/>
      <c r="F29" s="487"/>
      <c r="G29" s="76"/>
      <c r="H29" s="188"/>
      <c r="I29" s="484"/>
      <c r="J29" s="484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G30" s="76"/>
      <c r="H30" s="186"/>
      <c r="I30" s="85"/>
      <c r="J30" s="85"/>
      <c r="K30" s="30"/>
      <c r="L30" s="64"/>
      <c r="M30" s="65"/>
      <c r="N30" s="145"/>
      <c r="O30" s="145"/>
      <c r="P30" s="145"/>
    </row>
    <row r="31" spans="2:16" ht="20.149999999999999" customHeight="1" thickBot="1" x14ac:dyDescent="0.5">
      <c r="B31" s="32"/>
      <c r="C31" s="33"/>
      <c r="D31" s="488"/>
      <c r="E31" s="488"/>
      <c r="F31" s="488"/>
      <c r="G31" s="33"/>
      <c r="H31" s="57"/>
      <c r="I31" s="459"/>
      <c r="J31" s="459"/>
      <c r="K31" s="34"/>
      <c r="L31" s="35"/>
    </row>
    <row r="32" spans="2:16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89" t="s">
        <v>13</v>
      </c>
      <c r="K33" s="490"/>
      <c r="L33" s="38">
        <f>SUM(L18:L31)</f>
        <v>22</v>
      </c>
      <c r="M33" s="63">
        <f>SUM(P18:P31)-L33*0.02</f>
        <v>5.0599999999999996</v>
      </c>
      <c r="N33" s="133">
        <f>M33/L33</f>
        <v>0.22999999999999998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91" t="s">
        <v>19</v>
      </c>
      <c r="K35" s="492"/>
      <c r="L35" s="41">
        <f>L33-L34</f>
        <v>22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1.98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85" t="s">
        <v>21</v>
      </c>
      <c r="K37" s="486"/>
      <c r="L37" s="43">
        <f>L35+L36</f>
        <v>23.98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4">
    <mergeCell ref="D27:F27"/>
    <mergeCell ref="I27:J27"/>
    <mergeCell ref="J33:K33"/>
    <mergeCell ref="J35:K35"/>
    <mergeCell ref="J37:K37"/>
    <mergeCell ref="D28:F28"/>
    <mergeCell ref="I28:J28"/>
    <mergeCell ref="D29:F29"/>
    <mergeCell ref="I29:J29"/>
    <mergeCell ref="D31:F31"/>
    <mergeCell ref="I31:J31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58607-BE58-44CF-A2E0-24A0DD7AFB50}">
  <sheetPr codeName="Sheet75">
    <tabColor rgb="FFFFC000"/>
    <pageSetUpPr fitToPage="1"/>
  </sheetPr>
  <dimension ref="B1:S44"/>
  <sheetViews>
    <sheetView topLeftCell="A18" zoomScaleNormal="100" workbookViewId="0">
      <selection activeCell="C28" sqref="C2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3.81640625" style="19" customWidth="1"/>
    <col min="11" max="11" width="1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436</v>
      </c>
      <c r="J10" s="24" t="s">
        <v>27</v>
      </c>
      <c r="K10" s="464">
        <v>202504188</v>
      </c>
      <c r="L10" s="465"/>
    </row>
    <row r="11" spans="2:12" ht="20.149999999999999" customHeight="1" x14ac:dyDescent="0.45">
      <c r="B11" s="466" t="s">
        <v>434</v>
      </c>
      <c r="C11" s="467"/>
      <c r="D11" s="468"/>
      <c r="E11" s="25"/>
      <c r="F11" s="469" t="str">
        <f>VLOOKUP(H10,'Delivery Location'!A$4:N$466,2,0)</f>
        <v>K&amp;B                                                                  Blk 15, Woodland Loop.                           #03-10 Singapore 738322</v>
      </c>
      <c r="G11" s="470"/>
      <c r="H11" s="471"/>
      <c r="J11" s="26" t="s">
        <v>9</v>
      </c>
      <c r="K11" s="478">
        <v>45754</v>
      </c>
      <c r="L11" s="479"/>
    </row>
    <row r="12" spans="2:12" ht="20.149999999999999" customHeight="1" x14ac:dyDescent="0.45">
      <c r="B12" s="480" t="s">
        <v>437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438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421</v>
      </c>
      <c r="L13" s="483"/>
    </row>
    <row r="14" spans="2:12" ht="20.149999999999999" customHeight="1" x14ac:dyDescent="0.45">
      <c r="B14" s="480"/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08"/>
      <c r="C15" s="509"/>
      <c r="D15" s="510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9" ht="20.149999999999999" customHeight="1" x14ac:dyDescent="0.45">
      <c r="B18" s="364"/>
      <c r="C18" s="212" t="s">
        <v>812</v>
      </c>
      <c r="D18" s="549" t="str">
        <f>VLOOKUP(C18,'Sales Master'!B$3:D$537,2,)</f>
        <v>Red Bean 红豆 (5.5 mm)</v>
      </c>
      <c r="E18" s="549"/>
      <c r="F18" s="549"/>
      <c r="G18" s="76">
        <v>1</v>
      </c>
      <c r="H18" s="85" t="str">
        <f>VLOOKUP(C18,'Sales Master'!$B$3:$F$2420,5,0)</f>
        <v>5 KG</v>
      </c>
      <c r="I18" s="484" t="str">
        <f>VLOOKUP(C18,'Sales Master'!$B$3:$E$2420,4,0)</f>
        <v>-</v>
      </c>
      <c r="J18" s="484"/>
      <c r="K18" s="83">
        <f>VLOOKUP(C18,'Sales Master'!B3:$AG$2440,32,0)</f>
        <v>19</v>
      </c>
      <c r="L18" s="84">
        <f t="shared" ref="L18" si="0">K18*G18</f>
        <v>19</v>
      </c>
      <c r="M18" s="65"/>
      <c r="R18" s="63">
        <f>N18*G18*0.07</f>
        <v>0</v>
      </c>
      <c r="S18" s="63">
        <f>N18*G18*0.08</f>
        <v>0</v>
      </c>
    </row>
    <row r="19" spans="2:19" ht="20.149999999999999" customHeight="1" x14ac:dyDescent="0.45">
      <c r="B19" s="58"/>
      <c r="C19" s="212" t="s">
        <v>825</v>
      </c>
      <c r="D19" s="487" t="str">
        <f>VLOOKUP(C19,'Sales Master'!B$3:D$537,2,)</f>
        <v>Green Bean 绿豆</v>
      </c>
      <c r="E19" s="487"/>
      <c r="F19" s="487"/>
      <c r="G19" s="76">
        <v>2</v>
      </c>
      <c r="H19" s="85" t="str">
        <f>VLOOKUP(C19,'Sales Master'!$B$3:$F$2420,5,0)</f>
        <v>5 KG</v>
      </c>
      <c r="I19" s="484" t="str">
        <f>VLOOKUP(C19,'Sales Master'!$B$3:$E$2420,4,0)</f>
        <v>-</v>
      </c>
      <c r="J19" s="484"/>
      <c r="K19" s="83">
        <f>VLOOKUP(C19,'Sales Master'!B6:$AG$2440,32,0)</f>
        <v>14</v>
      </c>
      <c r="L19" s="84">
        <f t="shared" ref="L19" si="1">K19*G19</f>
        <v>28</v>
      </c>
      <c r="M19" s="65"/>
      <c r="R19" s="63"/>
      <c r="S19" s="63"/>
    </row>
    <row r="20" spans="2:19" ht="20.149999999999999" customHeight="1" x14ac:dyDescent="0.45">
      <c r="B20" s="364"/>
      <c r="C20" s="212" t="s">
        <v>837</v>
      </c>
      <c r="D20" s="487" t="str">
        <f>VLOOKUP(C20,'Sales Master'!B$3:D$537,2,)</f>
        <v>Black Glutinous Rice 黑糯米</v>
      </c>
      <c r="E20" s="487"/>
      <c r="F20" s="487"/>
      <c r="G20" s="76">
        <v>2</v>
      </c>
      <c r="H20" s="85" t="str">
        <f>VLOOKUP(C20,'Sales Master'!$B$3:$F$2420,5,0)</f>
        <v>5 KGS</v>
      </c>
      <c r="I20" s="484" t="str">
        <f>VLOOKUP(C20,'Sales Master'!$B$3:$E$2420,4,0)</f>
        <v>-</v>
      </c>
      <c r="J20" s="484"/>
      <c r="K20" s="83">
        <f>VLOOKUP(C20,'Sales Master'!B4:$AG$2440,32,0)</f>
        <v>18</v>
      </c>
      <c r="L20" s="84">
        <f t="shared" ref="L20" si="2">K20*G20</f>
        <v>36</v>
      </c>
      <c r="M20" s="65"/>
      <c r="R20" s="63"/>
      <c r="S20" s="63"/>
    </row>
    <row r="21" spans="2:19" ht="20.149999999999999" customHeight="1" x14ac:dyDescent="0.45">
      <c r="B21" s="364"/>
      <c r="C21" s="212" t="s">
        <v>844</v>
      </c>
      <c r="D21" s="487" t="str">
        <f>VLOOKUP(C21,'Sales Master'!B$3:D$537,2,)</f>
        <v>White Wheat 大麦</v>
      </c>
      <c r="E21" s="487"/>
      <c r="F21" s="487"/>
      <c r="G21" s="76">
        <v>1</v>
      </c>
      <c r="H21" s="85" t="str">
        <f>VLOOKUP(C21,'Sales Master'!$B$3:$F$2420,5,0)</f>
        <v>10 PKT/ Bag</v>
      </c>
      <c r="I21" s="484" t="str">
        <f>VLOOKUP(C21,'Sales Master'!$B$3:$E$2420,4,0)</f>
        <v>-</v>
      </c>
      <c r="J21" s="484"/>
      <c r="K21" s="83">
        <f>VLOOKUP(C21,'Sales Master'!B6:$AG$2440,32,0)</f>
        <v>11</v>
      </c>
      <c r="L21" s="84">
        <f>K21*G21</f>
        <v>11</v>
      </c>
      <c r="M21" s="65"/>
    </row>
    <row r="22" spans="2:19" ht="20.149999999999999" customHeight="1" x14ac:dyDescent="0.45">
      <c r="B22" s="58"/>
      <c r="C22" s="212" t="s">
        <v>853</v>
      </c>
      <c r="D22" s="487" t="str">
        <f>VLOOKUP(C22,'Sales Master'!B$3:D$537,2,)</f>
        <v>Small Sago 小丸</v>
      </c>
      <c r="E22" s="487"/>
      <c r="F22" s="487"/>
      <c r="G22" s="76">
        <v>1</v>
      </c>
      <c r="H22" s="85" t="str">
        <f>VLOOKUP(C22,'Sales Master'!$B$3:$F$2420,5,0)</f>
        <v>5 KG</v>
      </c>
      <c r="I22" s="484" t="str">
        <f>VLOOKUP(C22,'Sales Master'!$B$3:$E$2420,4,0)</f>
        <v>-</v>
      </c>
      <c r="J22" s="484"/>
      <c r="K22" s="83">
        <f>VLOOKUP(C22,'Sales Master'!B7:$AG$2440,32,0)</f>
        <v>11.5</v>
      </c>
      <c r="L22" s="84">
        <f t="shared" ref="L22" si="3">K22*G22</f>
        <v>11.5</v>
      </c>
      <c r="M22" s="65"/>
      <c r="R22" s="63"/>
      <c r="S22" s="63"/>
    </row>
    <row r="23" spans="2:19" ht="20.149999999999999" customHeight="1" x14ac:dyDescent="0.45">
      <c r="B23" s="58"/>
      <c r="C23" s="212" t="s">
        <v>989</v>
      </c>
      <c r="D23" s="487" t="str">
        <f>VLOOKUP(C23,'Sales Master'!B$3:D$537,2,)</f>
        <v>Red Sugar 赤糖</v>
      </c>
      <c r="E23" s="487"/>
      <c r="F23" s="487"/>
      <c r="G23" s="76">
        <v>2</v>
      </c>
      <c r="H23" s="85" t="str">
        <f>VLOOKUP(C23,'Sales Master'!$B$3:$F$2420,5,0)</f>
        <v>6 KG</v>
      </c>
      <c r="I23" s="484" t="str">
        <f>VLOOKUP(C23,'Sales Master'!$B$3:$E$2420,4,0)</f>
        <v>Star</v>
      </c>
      <c r="J23" s="484"/>
      <c r="K23" s="83">
        <f>VLOOKUP(C23,'Sales Master'!B5:$AG$2440,32,0)</f>
        <v>17</v>
      </c>
      <c r="L23" s="84">
        <f t="shared" ref="L23" si="4">K23*G23</f>
        <v>34</v>
      </c>
      <c r="M23" s="65"/>
    </row>
    <row r="24" spans="2:19" ht="20.149999999999999" customHeight="1" x14ac:dyDescent="0.45">
      <c r="B24" s="58"/>
      <c r="C24" s="212" t="s">
        <v>996</v>
      </c>
      <c r="D24" s="487" t="str">
        <f>VLOOKUP(C24,'Sales Master'!B$3:D$537,2,)</f>
        <v>Coconut Sugar 椰糖</v>
      </c>
      <c r="E24" s="487"/>
      <c r="F24" s="487"/>
      <c r="G24" s="76">
        <v>1</v>
      </c>
      <c r="H24" s="85" t="str">
        <f>VLOOKUP(C24,'Sales Master'!$B$3:$F$2420,5,0)</f>
        <v>10kgs/ctn</v>
      </c>
      <c r="I24" s="484" t="str">
        <f>VLOOKUP(C24,'Sales Master'!$B$3:$E$2420,4,0)</f>
        <v>Indonesia</v>
      </c>
      <c r="J24" s="484"/>
      <c r="K24" s="83">
        <f>VLOOKUP(C24,'Sales Master'!B6:$AG$2440,32,0)</f>
        <v>34</v>
      </c>
      <c r="L24" s="84">
        <f t="shared" ref="L24" si="5">K24*G24</f>
        <v>34</v>
      </c>
      <c r="M24" s="65"/>
      <c r="R24" s="63"/>
      <c r="S24" s="63"/>
    </row>
    <row r="25" spans="2:19" ht="20.149999999999999" customHeight="1" x14ac:dyDescent="0.45">
      <c r="B25" s="58"/>
      <c r="C25" s="212"/>
      <c r="D25" s="487"/>
      <c r="E25" s="487"/>
      <c r="F25" s="487"/>
      <c r="G25" s="76"/>
      <c r="H25" s="85"/>
      <c r="I25" s="484"/>
      <c r="J25" s="484"/>
      <c r="K25" s="83"/>
      <c r="L25" s="84"/>
      <c r="M25" s="65"/>
    </row>
    <row r="26" spans="2:19" ht="20.149999999999999" customHeight="1" x14ac:dyDescent="0.45">
      <c r="B26" s="58"/>
      <c r="C26" s="212"/>
      <c r="G26" s="76"/>
      <c r="H26" s="85"/>
      <c r="I26" s="208"/>
      <c r="J26" s="208"/>
      <c r="K26" s="83"/>
      <c r="L26" s="84"/>
      <c r="M26" s="65"/>
    </row>
    <row r="27" spans="2:19" ht="20.149999999999999" customHeight="1" x14ac:dyDescent="0.45">
      <c r="B27" s="58"/>
      <c r="C27" s="149" t="s">
        <v>2302</v>
      </c>
      <c r="D27" s="403"/>
      <c r="E27" s="403"/>
      <c r="F27" s="403"/>
      <c r="G27" s="76"/>
      <c r="H27" s="186"/>
      <c r="I27" s="484"/>
      <c r="J27" s="484"/>
      <c r="K27" s="190"/>
      <c r="L27" s="84"/>
      <c r="M27" s="65"/>
    </row>
    <row r="28" spans="2:19" ht="20.149999999999999" customHeight="1" x14ac:dyDescent="0.45">
      <c r="B28" s="58"/>
      <c r="C28" s="212" t="s">
        <v>849</v>
      </c>
      <c r="D28" s="493" t="str">
        <f>VLOOKUP(C28,'Sales Master'!B$3:D$537,2,)</f>
        <v>Big Sago 大丸</v>
      </c>
      <c r="E28" s="493"/>
      <c r="F28" s="493"/>
      <c r="G28" s="17">
        <v>1</v>
      </c>
      <c r="H28" s="186" t="str">
        <f>VLOOKUP(C28,'Sales Master'!$B$3:$F$2420,5,0)</f>
        <v>5 KG</v>
      </c>
      <c r="I28" s="484" t="str">
        <f>VLOOKUP(C28,'Sales Master'!$B$3:$E$2420,4,0)</f>
        <v>-</v>
      </c>
      <c r="J28" s="484"/>
      <c r="K28" s="190">
        <v>12</v>
      </c>
      <c r="L28" s="84"/>
      <c r="M28" s="65"/>
      <c r="N28" s="145"/>
      <c r="O28" s="145"/>
      <c r="P28" s="145"/>
    </row>
    <row r="29" spans="2:19" ht="20.149999999999999" customHeight="1" x14ac:dyDescent="0.45">
      <c r="B29" s="58"/>
      <c r="C29" s="212" t="s">
        <v>996</v>
      </c>
      <c r="D29" s="493" t="str">
        <f>VLOOKUP(C29,'Sales Master'!B$3:D$537,2,)</f>
        <v>Coconut Sugar 椰糖</v>
      </c>
      <c r="E29" s="493"/>
      <c r="F29" s="493"/>
      <c r="G29" s="17">
        <v>1</v>
      </c>
      <c r="H29" s="186" t="str">
        <f>VLOOKUP(C29,'Sales Master'!$B$3:$F$2420,5,0)</f>
        <v>10kgs/ctn</v>
      </c>
      <c r="I29" s="484" t="str">
        <f>VLOOKUP(C29,'Sales Master'!$B$3:$E$2420,4,0)</f>
        <v>Indonesia</v>
      </c>
      <c r="J29" s="484"/>
      <c r="K29" s="190">
        <v>36</v>
      </c>
      <c r="L29" s="84"/>
      <c r="M29" s="65"/>
      <c r="N29" s="145"/>
      <c r="O29" s="145"/>
      <c r="P29" s="145"/>
    </row>
    <row r="30" spans="2:19" ht="20.149999999999999" customHeight="1" x14ac:dyDescent="0.45">
      <c r="B30" s="58"/>
      <c r="C30" s="212"/>
      <c r="D30" s="147"/>
      <c r="E30" s="147"/>
      <c r="F30" s="147"/>
      <c r="G30" s="17"/>
      <c r="H30" s="186"/>
      <c r="I30" s="208"/>
      <c r="J30" s="208"/>
      <c r="K30" s="190"/>
      <c r="L30" s="84"/>
      <c r="M30" s="65"/>
      <c r="N30" s="145"/>
      <c r="O30" s="145"/>
      <c r="P30" s="145"/>
    </row>
    <row r="31" spans="2:19" ht="20.149999999999999" customHeight="1" thickBot="1" x14ac:dyDescent="0.5">
      <c r="B31" s="47"/>
      <c r="C31" s="48"/>
      <c r="D31" s="48"/>
      <c r="E31" s="48"/>
      <c r="F31" s="48"/>
      <c r="G31" s="48"/>
      <c r="H31" s="48"/>
      <c r="I31" s="48"/>
      <c r="J31" s="48"/>
      <c r="K31" s="48"/>
      <c r="L31" s="49"/>
    </row>
    <row r="32" spans="2:19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89" t="s">
        <v>13</v>
      </c>
      <c r="K32" s="490"/>
      <c r="L32" s="38">
        <f>SUM(L18:L31)</f>
        <v>173.5</v>
      </c>
      <c r="M32" s="63">
        <f>SUM(P18:P31)</f>
        <v>0</v>
      </c>
      <c r="N32" s="133">
        <f>M32/L32</f>
        <v>0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91" t="s">
        <v>19</v>
      </c>
      <c r="K34" s="492"/>
      <c r="L34" s="41">
        <f>L32-L33</f>
        <v>173.5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15.615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85" t="s">
        <v>21</v>
      </c>
      <c r="K36" s="486"/>
      <c r="L36" s="43">
        <f>L34+L35</f>
        <v>189.11500000000001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J37" s="177"/>
      <c r="K37" s="173"/>
      <c r="L37" s="37"/>
    </row>
    <row r="38" spans="2:12" ht="20.149999999999999" customHeight="1" x14ac:dyDescent="0.45">
      <c r="B38" s="144" t="s">
        <v>666</v>
      </c>
      <c r="J38" s="173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K40" s="17"/>
      <c r="L40" s="18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9">
    <mergeCell ref="B1:L8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B15:D15"/>
    <mergeCell ref="K15:L15"/>
    <mergeCell ref="J36:K36"/>
    <mergeCell ref="J32:K32"/>
    <mergeCell ref="K14:L14"/>
    <mergeCell ref="D19:F19"/>
    <mergeCell ref="I19:J19"/>
    <mergeCell ref="D20:F20"/>
    <mergeCell ref="I20:J20"/>
    <mergeCell ref="D24:F24"/>
    <mergeCell ref="I24:J24"/>
    <mergeCell ref="D22:F22"/>
    <mergeCell ref="D29:F29"/>
    <mergeCell ref="I29:J29"/>
    <mergeCell ref="I22:J22"/>
    <mergeCell ref="B14:D14"/>
    <mergeCell ref="D21:F21"/>
    <mergeCell ref="I21:J21"/>
    <mergeCell ref="D25:F25"/>
    <mergeCell ref="I25:J25"/>
    <mergeCell ref="K12:L12"/>
    <mergeCell ref="B13:D13"/>
    <mergeCell ref="J34:K34"/>
    <mergeCell ref="K13:L13"/>
    <mergeCell ref="D23:F23"/>
    <mergeCell ref="I23:J23"/>
    <mergeCell ref="I27:J27"/>
    <mergeCell ref="D28:F28"/>
    <mergeCell ref="I28:J28"/>
  </mergeCells>
  <conditionalFormatting sqref="C27">
    <cfRule type="duplicateValues" dxfId="183" priority="1"/>
  </conditionalFormatting>
  <pageMargins left="0.70866141732283505" right="0.31496062992126" top="0.23622047244094499" bottom="0.23622047244094499" header="0.31496062992126" footer="0.31496062992126"/>
  <pageSetup paperSize="9" scale="74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581CA-7E72-4C4C-81BF-6A20FCBDAF9F}">
  <sheetPr codeName="Sheet150">
    <tabColor rgb="FF00B050"/>
    <pageSetUpPr fitToPage="1"/>
  </sheetPr>
  <dimension ref="B1:P40"/>
  <sheetViews>
    <sheetView workbookViewId="0">
      <selection activeCell="G19" sqref="G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440</v>
      </c>
      <c r="J10" s="24" t="s">
        <v>27</v>
      </c>
      <c r="K10" s="464">
        <v>202409227</v>
      </c>
      <c r="L10" s="465"/>
    </row>
    <row r="11" spans="2:12" ht="20.149999999999999" customHeight="1" x14ac:dyDescent="0.45">
      <c r="B11" s="466" t="s">
        <v>441</v>
      </c>
      <c r="C11" s="467"/>
      <c r="D11" s="468"/>
      <c r="E11" s="25"/>
      <c r="F11" s="469" t="str">
        <f>VLOOKUP(H10,'Delivery Location'!A$4:N$466,2,0)</f>
        <v>S. Marco Food Trading Pte Ltd            39, Woodlands Close #05-27/28/29 Singapore 737856</v>
      </c>
      <c r="G11" s="470"/>
      <c r="H11" s="471"/>
      <c r="J11" s="26" t="s">
        <v>9</v>
      </c>
      <c r="K11" s="478">
        <v>45545</v>
      </c>
      <c r="L11" s="479"/>
    </row>
    <row r="12" spans="2:12" ht="20.149999999999999" customHeight="1" x14ac:dyDescent="0.45">
      <c r="B12" s="480" t="s">
        <v>1654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1655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421</v>
      </c>
      <c r="L13" s="483"/>
    </row>
    <row r="14" spans="2:12" ht="20.149999999999999" customHeight="1" x14ac:dyDescent="0.45">
      <c r="B14" s="480" t="s">
        <v>442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443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7" t="s">
        <v>386</v>
      </c>
      <c r="I17" s="460" t="s">
        <v>385</v>
      </c>
      <c r="J17" s="462"/>
      <c r="K17" s="8" t="s">
        <v>5</v>
      </c>
      <c r="L17" s="9" t="s">
        <v>6</v>
      </c>
      <c r="M17" s="28"/>
      <c r="N17" s="28"/>
      <c r="O17" s="28"/>
    </row>
    <row r="18" spans="2:16" ht="20.149999999999999" customHeight="1" x14ac:dyDescent="0.45">
      <c r="B18" s="58"/>
      <c r="C18" s="212" t="s">
        <v>712</v>
      </c>
      <c r="D18" s="524" t="str">
        <f>VLOOKUP(C18,'Sales Master'!B$3:D$537,2,)</f>
        <v>Bobo ChaCha Cubes 摩摩喳喳</v>
      </c>
      <c r="E18" s="524"/>
      <c r="F18" s="524"/>
      <c r="G18" s="76">
        <v>6</v>
      </c>
      <c r="H18" s="209" t="str">
        <f>VLOOKUP(C18,'Sales Master'!$B$3:$E$537,4,0)</f>
        <v>DO!</v>
      </c>
      <c r="I18" s="568" t="str">
        <f>VLOOKUP(C18,'Sales Master'!$B$3:F$537,5,0)</f>
        <v>800 GM/ Bag包</v>
      </c>
      <c r="J18" s="568"/>
      <c r="K18" s="83">
        <v>8</v>
      </c>
      <c r="L18" s="84">
        <f>K18*G18</f>
        <v>48</v>
      </c>
      <c r="M18" s="65"/>
      <c r="N18" s="145">
        <f>VLOOKUP(C18,'Sales Master'!$B$3:$DA$2279,104,0)</f>
        <v>0.89</v>
      </c>
      <c r="O18" s="145">
        <f>K18-N18</f>
        <v>7.11</v>
      </c>
      <c r="P18" s="145">
        <f>O18*G18</f>
        <v>42.660000000000004</v>
      </c>
    </row>
    <row r="19" spans="2:16" ht="20.149999999999999" customHeight="1" x14ac:dyDescent="0.45">
      <c r="B19" s="58"/>
      <c r="C19" s="17"/>
      <c r="D19" s="487"/>
      <c r="E19" s="487"/>
      <c r="F19" s="487"/>
      <c r="G19" s="76"/>
      <c r="H19" s="82"/>
      <c r="I19" s="447"/>
      <c r="J19" s="447"/>
      <c r="K19" s="83"/>
      <c r="L19" s="84"/>
      <c r="M19" s="65"/>
      <c r="N19" s="145"/>
      <c r="O19" s="145"/>
      <c r="P19" s="145"/>
    </row>
    <row r="20" spans="2:16" ht="20.149999999999999" customHeight="1" x14ac:dyDescent="0.45">
      <c r="B20" s="58"/>
      <c r="C20" s="17"/>
      <c r="D20" s="487"/>
      <c r="E20" s="487"/>
      <c r="F20" s="487"/>
      <c r="G20" s="76"/>
      <c r="H20" s="82"/>
      <c r="I20" s="447"/>
      <c r="J20" s="447"/>
      <c r="K20" s="83"/>
      <c r="L20" s="84"/>
      <c r="M20" s="65"/>
      <c r="N20" s="145"/>
      <c r="O20" s="145"/>
      <c r="P20" s="145"/>
    </row>
    <row r="21" spans="2:16" ht="20.149999999999999" customHeight="1" x14ac:dyDescent="0.45">
      <c r="B21" s="58"/>
      <c r="C21" s="17"/>
      <c r="D21" s="487"/>
      <c r="E21" s="487"/>
      <c r="F21" s="487"/>
      <c r="G21" s="76"/>
      <c r="H21" s="82"/>
      <c r="I21" s="447"/>
      <c r="J21" s="447"/>
      <c r="K21" s="83"/>
      <c r="L21" s="84"/>
      <c r="M21" s="65"/>
      <c r="N21" s="145"/>
      <c r="O21" s="145"/>
      <c r="P21" s="145"/>
    </row>
    <row r="22" spans="2:16" ht="20.149999999999999" customHeight="1" x14ac:dyDescent="0.45">
      <c r="B22" s="58"/>
      <c r="C22" s="17"/>
      <c r="D22" s="487"/>
      <c r="E22" s="487"/>
      <c r="F22" s="487"/>
      <c r="G22" s="76"/>
      <c r="H22" s="82"/>
      <c r="I22" s="447"/>
      <c r="J22" s="447"/>
      <c r="K22" s="83"/>
      <c r="L22" s="84"/>
      <c r="M22" s="65"/>
      <c r="N22" s="145"/>
      <c r="O22" s="145"/>
      <c r="P22" s="145"/>
    </row>
    <row r="23" spans="2:16" ht="20.149999999999999" customHeight="1" x14ac:dyDescent="0.45">
      <c r="B23" s="58"/>
      <c r="C23" s="17"/>
      <c r="D23" s="487"/>
      <c r="E23" s="487"/>
      <c r="F23" s="487"/>
      <c r="G23" s="76"/>
      <c r="H23" s="82"/>
      <c r="I23" s="447"/>
      <c r="J23" s="447"/>
      <c r="K23" s="83"/>
      <c r="L23" s="84"/>
      <c r="M23" s="65"/>
      <c r="N23" s="145"/>
      <c r="O23" s="145"/>
      <c r="P23" s="145"/>
    </row>
    <row r="24" spans="2:16" ht="20.149999999999999" customHeight="1" x14ac:dyDescent="0.45">
      <c r="B24" s="58"/>
      <c r="C24" s="17"/>
      <c r="D24" s="487"/>
      <c r="E24" s="487"/>
      <c r="F24" s="487"/>
      <c r="G24" s="76"/>
      <c r="H24" s="82"/>
      <c r="I24" s="447"/>
      <c r="J24" s="447"/>
      <c r="K24" s="83"/>
      <c r="L24" s="84"/>
      <c r="M24" s="65"/>
    </row>
    <row r="25" spans="2:16" ht="20.149999999999999" customHeight="1" x14ac:dyDescent="0.45">
      <c r="B25" s="58"/>
      <c r="C25" s="17"/>
      <c r="D25" s="487"/>
      <c r="E25" s="487"/>
      <c r="F25" s="487"/>
      <c r="G25" s="76"/>
      <c r="H25" s="82"/>
      <c r="I25" s="447"/>
      <c r="J25" s="447"/>
      <c r="K25" s="83"/>
      <c r="L25" s="84"/>
      <c r="M25" s="65"/>
    </row>
    <row r="26" spans="2:16" ht="20.149999999999999" customHeight="1" x14ac:dyDescent="0.45">
      <c r="B26" s="58"/>
      <c r="C26" s="17"/>
      <c r="D26" s="487"/>
      <c r="E26" s="487"/>
      <c r="F26" s="487"/>
      <c r="G26" s="76"/>
      <c r="H26" s="82"/>
      <c r="I26" s="447"/>
      <c r="J26" s="447"/>
      <c r="K26" s="83"/>
      <c r="L26" s="84"/>
    </row>
    <row r="27" spans="2:16" ht="20.149999999999999" customHeight="1" thickBot="1" x14ac:dyDescent="0.5">
      <c r="B27" s="47"/>
      <c r="C27" s="48"/>
      <c r="D27" s="48"/>
      <c r="E27" s="48"/>
      <c r="F27" s="48"/>
      <c r="G27" s="48"/>
      <c r="H27" s="48"/>
      <c r="I27" s="48"/>
      <c r="J27" s="48"/>
      <c r="K27" s="48"/>
      <c r="L27" s="49"/>
    </row>
    <row r="28" spans="2:16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89" t="s">
        <v>13</v>
      </c>
      <c r="K28" s="490"/>
      <c r="L28" s="38">
        <f>SUM(L17:L26)</f>
        <v>48</v>
      </c>
      <c r="M28" s="63">
        <f>SUM(P18:P27)</f>
        <v>42.660000000000004</v>
      </c>
    </row>
    <row r="29" spans="2:16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 t="s">
        <v>1453</v>
      </c>
      <c r="L29" s="41"/>
    </row>
    <row r="30" spans="2:16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91" t="s">
        <v>19</v>
      </c>
      <c r="K30" s="492"/>
      <c r="L30" s="41">
        <f>L28-L29</f>
        <v>48</v>
      </c>
    </row>
    <row r="31" spans="2:16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4.32</v>
      </c>
    </row>
    <row r="32" spans="2:16" ht="20.149999999999999" customHeight="1" thickBot="1" x14ac:dyDescent="0.5">
      <c r="B32" s="10" t="s">
        <v>23</v>
      </c>
      <c r="C32" s="6"/>
      <c r="D32" s="6"/>
      <c r="E32" s="6"/>
      <c r="F32" s="6"/>
      <c r="G32" s="6"/>
      <c r="H32" s="6"/>
      <c r="I32" s="6"/>
      <c r="J32" s="485" t="s">
        <v>21</v>
      </c>
      <c r="K32" s="486"/>
      <c r="L32" s="43">
        <f>L30+L31</f>
        <v>52.32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</sheetData>
  <mergeCells count="3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J30:K30"/>
    <mergeCell ref="J32:K32"/>
    <mergeCell ref="J28:K28"/>
    <mergeCell ref="D26:F26"/>
    <mergeCell ref="I26:J26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B4A85-E55A-493D-8DFD-2AC7DE44340C}">
  <sheetPr>
    <tabColor rgb="FF7030A0"/>
    <pageSetUpPr fitToPage="1"/>
  </sheetPr>
  <dimension ref="B1:O40"/>
  <sheetViews>
    <sheetView topLeftCell="A20" workbookViewId="0">
      <selection activeCell="H22" sqref="H2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26953125" style="19" customWidth="1"/>
    <col min="9" max="9" width="2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346">
        <v>0.09</v>
      </c>
    </row>
    <row r="2" spans="2:13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3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3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3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3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3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3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446</v>
      </c>
      <c r="J10" s="24" t="s">
        <v>27</v>
      </c>
      <c r="K10" s="464">
        <v>202404220</v>
      </c>
      <c r="L10" s="465"/>
    </row>
    <row r="11" spans="2:13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 xml:space="preserve">Koufu - Drink                                            Block 478 Tampines Street 44                       #01-221 Singapore 250478                                               </v>
      </c>
      <c r="G11" s="470"/>
      <c r="H11" s="471"/>
      <c r="J11" s="26" t="s">
        <v>9</v>
      </c>
      <c r="K11" s="478">
        <v>45390</v>
      </c>
      <c r="L11" s="479"/>
    </row>
    <row r="12" spans="2:13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3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3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3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119" t="s">
        <v>587</v>
      </c>
      <c r="L15" s="118"/>
    </row>
    <row r="16" spans="2:13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9" t="s">
        <v>929</v>
      </c>
      <c r="D18" s="463" t="str">
        <f>VLOOKUP(C18,'Sales Master'!B$3:D$537,2,)</f>
        <v>Aloe Vera 芦荟 10mm</v>
      </c>
      <c r="E18" s="463"/>
      <c r="F18" s="463"/>
      <c r="G18" s="17">
        <v>1</v>
      </c>
      <c r="H18" s="186" t="str">
        <f>VLOOKUP(C18,'Sales Master'!$B$3:$F$2420,5,0)</f>
        <v>1 Can X A10</v>
      </c>
      <c r="I18" s="484" t="str">
        <f>VLOOKUP(C18,'Sales Master'!$B$3:$E$2420,4,0)</f>
        <v>Chefs</v>
      </c>
      <c r="J18" s="484"/>
      <c r="K18" s="30">
        <f>VLOOKUP(C18,'Sales Master'!$B$3:$J$537,9,0)</f>
        <v>10</v>
      </c>
      <c r="L18" s="64">
        <f>K18*G18</f>
        <v>10</v>
      </c>
    </row>
    <row r="19" spans="2:15" ht="20.149999999999999" customHeight="1" x14ac:dyDescent="0.45">
      <c r="B19" s="29"/>
      <c r="D19" s="493"/>
      <c r="E19" s="493"/>
      <c r="F19" s="493"/>
      <c r="G19" s="17"/>
      <c r="H19" s="186"/>
      <c r="I19" s="484"/>
      <c r="J19" s="484"/>
      <c r="K19" s="30"/>
      <c r="L19" s="92"/>
    </row>
    <row r="20" spans="2:15" ht="20.149999999999999" customHeight="1" x14ac:dyDescent="0.45">
      <c r="B20" s="29"/>
      <c r="D20" s="493"/>
      <c r="E20" s="493"/>
      <c r="F20" s="493"/>
      <c r="G20" s="17"/>
      <c r="H20" s="186"/>
      <c r="I20" s="484"/>
      <c r="J20" s="484"/>
      <c r="K20" s="30"/>
      <c r="L20" s="92"/>
    </row>
    <row r="21" spans="2:15" ht="20.149999999999999" customHeight="1" x14ac:dyDescent="0.45">
      <c r="B21" s="29"/>
      <c r="D21" s="493"/>
      <c r="E21" s="493"/>
      <c r="F21" s="493"/>
      <c r="G21" s="17"/>
      <c r="H21" s="186"/>
      <c r="I21" s="484"/>
      <c r="J21" s="484"/>
      <c r="K21" s="30"/>
      <c r="L21" s="92"/>
    </row>
    <row r="22" spans="2:15" ht="20.149999999999999" customHeight="1" x14ac:dyDescent="0.45">
      <c r="B22" s="29"/>
      <c r="D22" s="493"/>
      <c r="E22" s="493"/>
      <c r="F22" s="493"/>
      <c r="G22" s="17"/>
      <c r="H22" s="186"/>
      <c r="I22" s="484"/>
      <c r="J22" s="484"/>
      <c r="K22" s="30"/>
      <c r="L22" s="92"/>
    </row>
    <row r="23" spans="2:15" ht="20.149999999999999" customHeight="1" x14ac:dyDescent="0.45">
      <c r="B23" s="29"/>
      <c r="D23" s="493"/>
      <c r="E23" s="493"/>
      <c r="F23" s="493"/>
      <c r="G23" s="17"/>
      <c r="H23" s="186"/>
      <c r="I23" s="484"/>
      <c r="J23" s="484"/>
      <c r="K23" s="30"/>
      <c r="L23" s="92"/>
    </row>
    <row r="24" spans="2:15" ht="20.149999999999999" customHeight="1" x14ac:dyDescent="0.45">
      <c r="B24" s="29"/>
      <c r="D24" s="493"/>
      <c r="E24" s="493"/>
      <c r="F24" s="493"/>
      <c r="G24" s="17"/>
      <c r="H24" s="186"/>
      <c r="I24" s="484"/>
      <c r="J24" s="484"/>
      <c r="K24" s="30"/>
      <c r="L24" s="92"/>
    </row>
    <row r="25" spans="2:15" ht="20.149999999999999" customHeight="1" x14ac:dyDescent="0.45">
      <c r="B25" s="29"/>
      <c r="D25" s="493"/>
      <c r="E25" s="493"/>
      <c r="F25" s="493"/>
      <c r="G25" s="17"/>
      <c r="H25" s="186"/>
      <c r="I25" s="484"/>
      <c r="J25" s="484"/>
      <c r="K25" s="30"/>
      <c r="L25" s="92"/>
    </row>
    <row r="26" spans="2:15" ht="20.149999999999999" customHeight="1" thickBot="1" x14ac:dyDescent="0.5">
      <c r="B26" s="32"/>
      <c r="C26" s="33"/>
      <c r="D26" s="488"/>
      <c r="E26" s="488"/>
      <c r="F26" s="488"/>
      <c r="G26" s="33"/>
      <c r="H26" s="33"/>
      <c r="I26" s="33"/>
      <c r="J26" s="33"/>
      <c r="K26" s="34"/>
      <c r="L26" s="35"/>
    </row>
    <row r="27" spans="2:15" ht="20.149999999999999" customHeight="1" thickBot="1" x14ac:dyDescent="0.5">
      <c r="B27" s="36"/>
      <c r="L27" s="37"/>
    </row>
    <row r="28" spans="2:15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89" t="s">
        <v>13</v>
      </c>
      <c r="K28" s="490"/>
      <c r="L28" s="38">
        <f>SUM(L17:L26)</f>
        <v>10</v>
      </c>
    </row>
    <row r="29" spans="2:15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5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91" t="s">
        <v>19</v>
      </c>
      <c r="K30" s="492"/>
      <c r="L30" s="41">
        <f>L28-L29</f>
        <v>10</v>
      </c>
      <c r="M30" s="63"/>
    </row>
    <row r="31" spans="2:15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0.89999999999999991</v>
      </c>
    </row>
    <row r="32" spans="2:15" ht="20.149999999999999" customHeight="1" thickBot="1" x14ac:dyDescent="0.5">
      <c r="B32" s="10" t="s">
        <v>23</v>
      </c>
      <c r="C32" s="6"/>
      <c r="D32" s="6"/>
      <c r="E32" s="6"/>
      <c r="F32" s="6"/>
      <c r="G32" s="6"/>
      <c r="H32" s="6"/>
      <c r="I32" s="6"/>
      <c r="J32" s="485" t="s">
        <v>21</v>
      </c>
      <c r="K32" s="486"/>
      <c r="L32" s="43">
        <f>L30+L31</f>
        <v>10.9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</sheetData>
  <mergeCells count="34">
    <mergeCell ref="D26:F26"/>
    <mergeCell ref="J28:K28"/>
    <mergeCell ref="J30:K30"/>
    <mergeCell ref="J32:K32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9:F19"/>
    <mergeCell ref="I19:J19"/>
    <mergeCell ref="K14:L14"/>
    <mergeCell ref="B15:D15"/>
    <mergeCell ref="D17:F17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8919E-B1F0-4D25-A0D5-C56F33A358D7}">
  <sheetPr codeName="Sheet164">
    <tabColor rgb="FF7030A0"/>
    <pageSetUpPr fitToPage="1"/>
  </sheetPr>
  <dimension ref="B1:O50"/>
  <sheetViews>
    <sheetView workbookViewId="0">
      <selection activeCell="B1" sqref="B1:L5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76</v>
      </c>
      <c r="J10" s="24" t="s">
        <v>27</v>
      </c>
      <c r="K10" s="464">
        <v>202001280</v>
      </c>
      <c r="L10" s="465"/>
    </row>
    <row r="11" spans="2:12" ht="20.149999999999999" customHeight="1" x14ac:dyDescent="0.45">
      <c r="B11" s="466" t="s">
        <v>316</v>
      </c>
      <c r="C11" s="467"/>
      <c r="D11" s="468"/>
      <c r="E11" s="25"/>
      <c r="F11" s="469" t="str">
        <f>VLOOKUP(H10,'Delivery Location'!A$4:N$466,2,0)</f>
        <v xml:space="preserve">Koufu - (Dessert)                                         6, Raffles Boulevard #04-101/102 Marina Square Singapore 039594              </v>
      </c>
      <c r="G11" s="470"/>
      <c r="H11" s="471"/>
      <c r="J11" s="26" t="s">
        <v>9</v>
      </c>
      <c r="K11" s="500" t="s">
        <v>550</v>
      </c>
      <c r="L11" s="483"/>
    </row>
    <row r="12" spans="2:12" ht="20.149999999999999" customHeight="1" x14ac:dyDescent="0.45">
      <c r="B12" s="480" t="s">
        <v>317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318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353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0"/>
      <c r="C15" s="51"/>
      <c r="D15" s="52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284</v>
      </c>
      <c r="D18" s="487" t="e">
        <f>VLOOKUP(C18,'Sales Master'!B$3:D$537,2,)</f>
        <v>#N/A</v>
      </c>
      <c r="E18" s="487"/>
      <c r="F18" s="487"/>
      <c r="G18" s="17">
        <v>3</v>
      </c>
      <c r="H18" s="56"/>
      <c r="I18" s="494"/>
      <c r="J18" s="494"/>
      <c r="K18" s="30"/>
      <c r="L18" s="31"/>
    </row>
    <row r="19" spans="2:15" ht="20.149999999999999" customHeight="1" x14ac:dyDescent="0.45">
      <c r="B19" s="29"/>
      <c r="C19" s="17" t="s">
        <v>286</v>
      </c>
      <c r="D19" s="487" t="e">
        <f>VLOOKUP(C19,'Sales Master'!B$3:D$537,2,)</f>
        <v>#N/A</v>
      </c>
      <c r="E19" s="487"/>
      <c r="F19" s="487"/>
      <c r="G19" s="17">
        <v>3</v>
      </c>
      <c r="H19" s="56"/>
      <c r="I19" s="494"/>
      <c r="J19" s="494"/>
      <c r="K19" s="30"/>
      <c r="L19" s="31"/>
    </row>
    <row r="20" spans="2:15" ht="20.149999999999999" customHeight="1" x14ac:dyDescent="0.45">
      <c r="B20" s="29"/>
      <c r="C20" s="17" t="s">
        <v>287</v>
      </c>
      <c r="D20" s="487" t="e">
        <f>VLOOKUP(C20,'Sales Master'!B$3:D$537,2,)</f>
        <v>#N/A</v>
      </c>
      <c r="E20" s="487"/>
      <c r="F20" s="487"/>
      <c r="G20" s="17">
        <v>1</v>
      </c>
      <c r="H20" s="56"/>
      <c r="I20" s="494"/>
      <c r="J20" s="494"/>
      <c r="K20" s="30"/>
      <c r="L20" s="31"/>
    </row>
    <row r="21" spans="2:15" ht="20.149999999999999" customHeight="1" x14ac:dyDescent="0.45">
      <c r="B21" s="29"/>
      <c r="C21" s="17" t="s">
        <v>545</v>
      </c>
      <c r="D21" s="487" t="e">
        <f>VLOOKUP(C21,'Sales Master'!B$3:D$537,2,)</f>
        <v>#N/A</v>
      </c>
      <c r="E21" s="487"/>
      <c r="F21" s="487"/>
      <c r="G21" s="17">
        <v>2</v>
      </c>
      <c r="H21" s="56"/>
      <c r="I21" s="494"/>
      <c r="J21" s="494"/>
      <c r="K21" s="30"/>
      <c r="L21" s="31"/>
    </row>
    <row r="22" spans="2:15" ht="20.149999999999999" customHeight="1" x14ac:dyDescent="0.45">
      <c r="B22" s="29"/>
      <c r="C22" s="17" t="s">
        <v>302</v>
      </c>
      <c r="D22" s="487" t="e">
        <f>VLOOKUP(C22,'Sales Master'!B$3:D$537,2,)</f>
        <v>#N/A</v>
      </c>
      <c r="E22" s="487"/>
      <c r="F22" s="487"/>
      <c r="G22" s="17">
        <v>3</v>
      </c>
      <c r="H22" s="56"/>
      <c r="I22" s="494"/>
      <c r="J22" s="494"/>
      <c r="K22" s="30"/>
      <c r="L22" s="31"/>
    </row>
    <row r="23" spans="2:15" ht="20.149999999999999" customHeight="1" x14ac:dyDescent="0.45">
      <c r="B23" s="29"/>
      <c r="C23" s="17"/>
      <c r="G23" s="17"/>
      <c r="H23" s="56"/>
      <c r="I23" s="458"/>
      <c r="J23" s="458"/>
      <c r="K23" s="30"/>
      <c r="L23" s="31"/>
    </row>
    <row r="24" spans="2:15" ht="20.149999999999999" customHeight="1" x14ac:dyDescent="0.45">
      <c r="B24" s="29"/>
      <c r="C24" s="17"/>
      <c r="G24" s="17"/>
      <c r="H24" s="56"/>
      <c r="I24" s="458"/>
      <c r="J24" s="458"/>
      <c r="K24" s="30"/>
      <c r="L24" s="31"/>
    </row>
    <row r="25" spans="2:15" ht="20.149999999999999" customHeight="1" x14ac:dyDescent="0.45">
      <c r="B25" s="29"/>
      <c r="C25" s="17"/>
      <c r="G25" s="17"/>
      <c r="H25" s="56"/>
      <c r="I25" s="458"/>
      <c r="J25" s="458"/>
      <c r="K25" s="30"/>
      <c r="L25" s="31"/>
    </row>
    <row r="26" spans="2:15" ht="20.149999999999999" customHeight="1" x14ac:dyDescent="0.45">
      <c r="B26" s="29"/>
      <c r="C26" s="17"/>
      <c r="G26" s="17"/>
      <c r="H26" s="56"/>
      <c r="I26" s="458"/>
      <c r="J26" s="458"/>
      <c r="K26" s="30"/>
      <c r="L26" s="31"/>
    </row>
    <row r="27" spans="2:15" ht="20.149999999999999" customHeight="1" x14ac:dyDescent="0.45">
      <c r="B27" s="29"/>
      <c r="C27" s="17"/>
      <c r="G27" s="17"/>
      <c r="H27" s="56"/>
      <c r="I27" s="458"/>
      <c r="J27" s="458"/>
      <c r="K27" s="30"/>
      <c r="L27" s="31"/>
    </row>
    <row r="28" spans="2:15" ht="20.149999999999999" customHeight="1" x14ac:dyDescent="0.45">
      <c r="B28" s="29"/>
      <c r="C28" s="17"/>
      <c r="G28" s="17"/>
      <c r="H28" s="56"/>
      <c r="I28" s="458"/>
      <c r="J28" s="458"/>
      <c r="K28" s="30"/>
      <c r="L28" s="31"/>
    </row>
    <row r="29" spans="2:15" ht="20.149999999999999" customHeight="1" x14ac:dyDescent="0.45">
      <c r="B29" s="29"/>
      <c r="C29" s="17"/>
      <c r="G29" s="17"/>
      <c r="H29" s="56"/>
      <c r="I29" s="458"/>
      <c r="J29" s="458"/>
      <c r="K29" s="30"/>
      <c r="L29" s="31"/>
    </row>
    <row r="30" spans="2:15" ht="20.149999999999999" customHeight="1" x14ac:dyDescent="0.45">
      <c r="B30" s="29"/>
      <c r="C30" s="17"/>
      <c r="G30" s="17"/>
      <c r="H30" s="56"/>
      <c r="I30" s="17"/>
      <c r="J30" s="17"/>
      <c r="K30" s="30"/>
      <c r="L30" s="31"/>
    </row>
    <row r="31" spans="2:15" ht="20.149999999999999" customHeight="1" x14ac:dyDescent="0.45">
      <c r="B31" s="29"/>
      <c r="C31" s="17"/>
      <c r="G31" s="17"/>
      <c r="H31" s="56"/>
      <c r="I31" s="17"/>
      <c r="J31" s="17"/>
      <c r="K31" s="30"/>
      <c r="L31" s="31"/>
    </row>
    <row r="32" spans="2:15" ht="20.149999999999999" customHeight="1" x14ac:dyDescent="0.45">
      <c r="B32" s="29"/>
      <c r="C32" s="17"/>
      <c r="G32" s="17"/>
      <c r="H32" s="56"/>
      <c r="I32" s="17"/>
      <c r="J32" s="17"/>
      <c r="K32" s="30"/>
      <c r="L32" s="31"/>
    </row>
    <row r="33" spans="2:12" ht="20.149999999999999" customHeight="1" x14ac:dyDescent="0.45">
      <c r="B33" s="29"/>
      <c r="C33" s="17"/>
      <c r="D33" s="487"/>
      <c r="E33" s="487"/>
      <c r="F33" s="487"/>
      <c r="G33" s="17"/>
      <c r="H33" s="56"/>
      <c r="I33" s="56"/>
      <c r="J33" s="17"/>
      <c r="K33" s="30"/>
      <c r="L33" s="31"/>
    </row>
    <row r="34" spans="2:12" ht="20.149999999999999" customHeight="1" x14ac:dyDescent="0.45">
      <c r="B34" s="29"/>
      <c r="C34" s="17"/>
      <c r="D34" s="487"/>
      <c r="E34" s="487"/>
      <c r="F34" s="487"/>
      <c r="G34" s="17"/>
      <c r="H34" s="56"/>
      <c r="I34" s="56"/>
      <c r="J34" s="17"/>
      <c r="K34" s="30"/>
      <c r="L34" s="31"/>
    </row>
    <row r="35" spans="2:12" ht="20.149999999999999" customHeight="1" x14ac:dyDescent="0.45">
      <c r="B35" s="29"/>
      <c r="C35" s="17"/>
      <c r="D35" s="487"/>
      <c r="E35" s="487"/>
      <c r="F35" s="487"/>
      <c r="G35" s="17"/>
      <c r="H35" s="17"/>
      <c r="I35" s="17"/>
      <c r="J35" s="17"/>
      <c r="K35" s="30"/>
      <c r="L35" s="31"/>
    </row>
    <row r="36" spans="2:12" ht="20.149999999999999" customHeight="1" thickBot="1" x14ac:dyDescent="0.5">
      <c r="B36" s="32"/>
      <c r="C36" s="33"/>
      <c r="D36" s="488"/>
      <c r="E36" s="488"/>
      <c r="F36" s="488"/>
      <c r="G36" s="33"/>
      <c r="H36" s="33"/>
      <c r="I36" s="33"/>
      <c r="J36" s="33"/>
      <c r="K36" s="34"/>
      <c r="L36" s="35"/>
    </row>
    <row r="37" spans="2:12" ht="20.149999999999999" customHeight="1" thickBot="1" x14ac:dyDescent="0.5">
      <c r="B37" s="36"/>
      <c r="L37" s="37"/>
    </row>
    <row r="38" spans="2:12" ht="20.149999999999999" customHeight="1" x14ac:dyDescent="0.45">
      <c r="B38" s="10" t="s">
        <v>16</v>
      </c>
      <c r="C38" s="6"/>
      <c r="D38" s="6"/>
      <c r="E38" s="6"/>
      <c r="F38" s="6"/>
      <c r="G38" s="6"/>
      <c r="H38" s="6"/>
      <c r="I38" s="6"/>
      <c r="J38" s="489" t="s">
        <v>13</v>
      </c>
      <c r="K38" s="490"/>
      <c r="L38" s="38">
        <f>SUM(L16:L36)</f>
        <v>0</v>
      </c>
    </row>
    <row r="39" spans="2:12" ht="20.149999999999999" customHeight="1" x14ac:dyDescent="0.45">
      <c r="B39" s="10" t="s">
        <v>17</v>
      </c>
      <c r="C39" s="6"/>
      <c r="D39" s="6"/>
      <c r="E39" s="6"/>
      <c r="F39" s="6"/>
      <c r="G39" s="6"/>
      <c r="H39" s="6"/>
      <c r="I39" s="6"/>
      <c r="J39" s="39" t="s">
        <v>20</v>
      </c>
      <c r="K39" s="40"/>
      <c r="L39" s="41">
        <f>L38*K39</f>
        <v>0</v>
      </c>
    </row>
    <row r="40" spans="2:12" ht="20.149999999999999" customHeight="1" x14ac:dyDescent="0.45">
      <c r="B40" s="10" t="s">
        <v>18</v>
      </c>
      <c r="C40" s="6"/>
      <c r="D40" s="6"/>
      <c r="E40" s="6"/>
      <c r="F40" s="6"/>
      <c r="G40" s="6"/>
      <c r="H40" s="6"/>
      <c r="I40" s="6"/>
      <c r="J40" s="491" t="s">
        <v>19</v>
      </c>
      <c r="K40" s="492"/>
      <c r="L40" s="41">
        <f>L38-L39</f>
        <v>0</v>
      </c>
    </row>
    <row r="41" spans="2:12" ht="20.149999999999999" customHeight="1" x14ac:dyDescent="0.45">
      <c r="B41" s="10" t="s">
        <v>22</v>
      </c>
      <c r="C41" s="6"/>
      <c r="D41" s="6"/>
      <c r="E41" s="6"/>
      <c r="F41" s="6"/>
      <c r="G41" s="6"/>
      <c r="H41" s="6"/>
      <c r="I41" s="6"/>
      <c r="J41" s="102" t="s">
        <v>15</v>
      </c>
      <c r="K41" s="103">
        <f>'Sales Master'!$B$1</f>
        <v>0.09</v>
      </c>
      <c r="L41" s="42">
        <f>L40*K41</f>
        <v>0</v>
      </c>
    </row>
    <row r="42" spans="2:12" ht="20.149999999999999" customHeight="1" thickBot="1" x14ac:dyDescent="0.5">
      <c r="B42" s="10" t="s">
        <v>23</v>
      </c>
      <c r="C42" s="6"/>
      <c r="D42" s="6"/>
      <c r="E42" s="6"/>
      <c r="F42" s="6"/>
      <c r="G42" s="6"/>
      <c r="H42" s="6"/>
      <c r="I42" s="6"/>
      <c r="J42" s="485" t="s">
        <v>21</v>
      </c>
      <c r="K42" s="486"/>
      <c r="L42" s="43">
        <f>L40+L41</f>
        <v>0</v>
      </c>
    </row>
    <row r="43" spans="2:12" ht="20.149999999999999" customHeight="1" x14ac:dyDescent="0.45">
      <c r="B43" s="10" t="s">
        <v>24</v>
      </c>
      <c r="C43" s="6"/>
      <c r="D43" s="6"/>
      <c r="E43" s="6"/>
      <c r="F43" s="6"/>
      <c r="G43" s="6"/>
      <c r="H43" s="6"/>
      <c r="I43" s="6"/>
      <c r="L43" s="37"/>
    </row>
    <row r="44" spans="2:12" ht="20.149999999999999" customHeight="1" x14ac:dyDescent="0.45">
      <c r="B44" s="36"/>
      <c r="L44" s="37"/>
    </row>
    <row r="45" spans="2:12" ht="20.149999999999999" customHeight="1" x14ac:dyDescent="0.45">
      <c r="B45" s="36"/>
      <c r="L45" s="37"/>
    </row>
    <row r="46" spans="2:12" ht="20.149999999999999" customHeight="1" x14ac:dyDescent="0.45">
      <c r="B46" s="36"/>
      <c r="L46" s="37"/>
    </row>
    <row r="47" spans="2:12" ht="20.149999999999999" customHeight="1" x14ac:dyDescent="0.45">
      <c r="B47" s="36"/>
      <c r="L47" s="37"/>
    </row>
    <row r="48" spans="2:12" ht="20.149999999999999" customHeight="1" x14ac:dyDescent="0.45">
      <c r="B48" s="44"/>
      <c r="C48" s="45"/>
      <c r="D48" s="45"/>
      <c r="J48" s="45"/>
      <c r="K48" s="45"/>
      <c r="L48" s="46"/>
    </row>
    <row r="49" spans="2:12" ht="20.149999999999999" customHeight="1" x14ac:dyDescent="0.45">
      <c r="B49" s="36" t="s">
        <v>25</v>
      </c>
      <c r="J49" s="19" t="s">
        <v>26</v>
      </c>
      <c r="L49" s="37"/>
    </row>
    <row r="50" spans="2:12" ht="19" thickBot="1" x14ac:dyDescent="0.5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9"/>
    </row>
  </sheetData>
  <mergeCells count="38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I22:J22"/>
    <mergeCell ref="D19:F19"/>
    <mergeCell ref="I19:J19"/>
    <mergeCell ref="D21:F21"/>
    <mergeCell ref="D22:F22"/>
    <mergeCell ref="J42:K42"/>
    <mergeCell ref="D33:F33"/>
    <mergeCell ref="D34:F34"/>
    <mergeCell ref="D35:F35"/>
    <mergeCell ref="D36:F36"/>
    <mergeCell ref="J38:K38"/>
    <mergeCell ref="J40:K40"/>
    <mergeCell ref="I29:J29"/>
    <mergeCell ref="I21:J21"/>
    <mergeCell ref="I24:J24"/>
    <mergeCell ref="I25:J25"/>
    <mergeCell ref="I26:J26"/>
    <mergeCell ref="I27:J27"/>
    <mergeCell ref="I28:J28"/>
    <mergeCell ref="I23:J23"/>
  </mergeCells>
  <pageMargins left="0.70866141732283505" right="0.31496062992126" top="2.1653543307086598" bottom="0" header="0.31496062992126" footer="0.31496062992126"/>
  <pageSetup paperSize="9" scale="78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152FD-9AE5-4955-8EEE-3BD94382205D}">
  <sheetPr>
    <tabColor rgb="FF7030A0"/>
    <pageSetUpPr fitToPage="1"/>
  </sheetPr>
  <dimension ref="B1:P42"/>
  <sheetViews>
    <sheetView topLeftCell="A7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447</v>
      </c>
      <c r="J10" s="24" t="s">
        <v>27</v>
      </c>
      <c r="K10" s="464">
        <v>202411515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Koufu - Dim Sum                                       4 Bukit Batok Street 41,                       #01-22/23/24/25/26/27/28,                       Le Quest Mall, Singapore 657991</v>
      </c>
      <c r="G11" s="470"/>
      <c r="H11" s="471"/>
      <c r="J11" s="26" t="s">
        <v>9</v>
      </c>
      <c r="K11" s="478">
        <v>45621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966</v>
      </c>
      <c r="D18" s="487" t="str">
        <f>VLOOKUP(C18,'Sales Master'!B$3:D$537,2,)</f>
        <v>Coconut Milk 椰浆</v>
      </c>
      <c r="E18" s="487"/>
      <c r="F18" s="487"/>
      <c r="G18" s="17">
        <v>5</v>
      </c>
      <c r="H18" s="85" t="str">
        <f>VLOOKUP(C18,'Sales Master'!$B$3:$F$2488,5,0)</f>
        <v>(1L x 12bag)/箱</v>
      </c>
      <c r="I18" s="484" t="str">
        <f>VLOOKUP(C18,'Sales Master'!$B$3:$E$2488,4,0)</f>
        <v>Kara UHT</v>
      </c>
      <c r="J18" s="484"/>
      <c r="K18" s="30">
        <f>VLOOKUP(C18,'Sales Master'!$B$3:$J$537,9,0)</f>
        <v>54</v>
      </c>
      <c r="L18" s="31">
        <f>K18*G18</f>
        <v>270</v>
      </c>
      <c r="N18" s="145">
        <f>VLOOKUP(C18,'Sales Master'!$B$3:$DA$2279,104,0)</f>
        <v>35.799999999999997</v>
      </c>
      <c r="O18" s="145">
        <f>K18-N18</f>
        <v>18.200000000000003</v>
      </c>
      <c r="P18" s="145">
        <f>O18*G18</f>
        <v>91.000000000000014</v>
      </c>
    </row>
    <row r="19" spans="2:16" ht="20.149999999999999" customHeight="1" x14ac:dyDescent="0.45">
      <c r="B19" s="29"/>
      <c r="C19" s="212"/>
      <c r="D19" s="556"/>
      <c r="E19" s="556"/>
      <c r="F19" s="556"/>
      <c r="G19" s="17"/>
      <c r="H19" s="85"/>
      <c r="I19" s="484"/>
      <c r="J19" s="484"/>
      <c r="K19" s="30"/>
      <c r="L19" s="31"/>
      <c r="N19" s="145"/>
      <c r="O19" s="145"/>
      <c r="P19" s="145"/>
    </row>
    <row r="20" spans="2:16" ht="20.149999999999999" customHeight="1" x14ac:dyDescent="0.45">
      <c r="B20" s="29"/>
      <c r="C20" s="212"/>
      <c r="D20" s="487"/>
      <c r="E20" s="487"/>
      <c r="F20" s="487"/>
      <c r="G20" s="17"/>
      <c r="H20" s="85"/>
      <c r="I20" s="484"/>
      <c r="J20" s="484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2"/>
      <c r="D21" s="487"/>
      <c r="E21" s="487"/>
      <c r="F21" s="487"/>
      <c r="G21" s="17"/>
      <c r="H21" s="85"/>
      <c r="I21" s="484"/>
      <c r="J21" s="484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2"/>
      <c r="D22" s="487"/>
      <c r="E22" s="487"/>
      <c r="F22" s="487"/>
      <c r="G22" s="17"/>
      <c r="H22" s="85"/>
      <c r="I22" s="484"/>
      <c r="J22" s="484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2"/>
      <c r="D23" s="487"/>
      <c r="E23" s="487"/>
      <c r="F23" s="487"/>
      <c r="G23" s="17"/>
      <c r="H23" s="85"/>
      <c r="I23" s="484"/>
      <c r="J23" s="484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212"/>
      <c r="D24" s="487"/>
      <c r="E24" s="487"/>
      <c r="F24" s="487"/>
      <c r="G24" s="17"/>
      <c r="H24" s="85"/>
      <c r="I24" s="484"/>
      <c r="J24" s="484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17"/>
      <c r="D25" s="487"/>
      <c r="E25" s="487"/>
      <c r="F25" s="487"/>
      <c r="G25" s="17"/>
      <c r="H25" s="56"/>
      <c r="I25" s="17"/>
      <c r="J25" s="17"/>
      <c r="K25" s="30"/>
      <c r="L25" s="31"/>
    </row>
    <row r="26" spans="2:16" ht="20.149999999999999" customHeight="1" x14ac:dyDescent="0.45">
      <c r="B26" s="29"/>
      <c r="C26" s="17"/>
      <c r="D26" s="487"/>
      <c r="E26" s="487"/>
      <c r="F26" s="487"/>
      <c r="G26" s="17"/>
      <c r="H26" s="56"/>
      <c r="I26" s="56"/>
      <c r="J26" s="17"/>
      <c r="K26" s="30"/>
      <c r="L26" s="31"/>
    </row>
    <row r="27" spans="2:16" ht="20.149999999999999" customHeight="1" x14ac:dyDescent="0.45">
      <c r="B27" s="29"/>
      <c r="C27" s="17"/>
      <c r="D27" s="487"/>
      <c r="E27" s="487"/>
      <c r="F27" s="487"/>
      <c r="G27" s="17"/>
      <c r="H27" s="17"/>
      <c r="I27" s="17"/>
      <c r="J27" s="17"/>
      <c r="K27" s="30"/>
      <c r="L27" s="31"/>
    </row>
    <row r="28" spans="2:16" ht="20.149999999999999" customHeight="1" thickBot="1" x14ac:dyDescent="0.5">
      <c r="B28" s="32"/>
      <c r="C28" s="33"/>
      <c r="D28" s="488"/>
      <c r="E28" s="488"/>
      <c r="F28" s="488"/>
      <c r="G28" s="33"/>
      <c r="H28" s="33"/>
      <c r="I28" s="33"/>
      <c r="J28" s="33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SUM(L17:L28)</f>
        <v>270</v>
      </c>
      <c r="M30" s="63">
        <f>SUM(P18:P23)-L30*0.02</f>
        <v>85.600000000000009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270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24.3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294.3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J34:K34"/>
    <mergeCell ref="D23:F23"/>
    <mergeCell ref="I23:J23"/>
    <mergeCell ref="D24:F24"/>
    <mergeCell ref="I24:J24"/>
    <mergeCell ref="D26:F26"/>
    <mergeCell ref="D27:F27"/>
    <mergeCell ref="D19:F19"/>
    <mergeCell ref="I19:J19"/>
    <mergeCell ref="D28:F28"/>
    <mergeCell ref="J30:K30"/>
    <mergeCell ref="J32:K32"/>
    <mergeCell ref="I21:J21"/>
    <mergeCell ref="I17:J17"/>
    <mergeCell ref="D18:F18"/>
    <mergeCell ref="D25:F25"/>
    <mergeCell ref="D20:F20"/>
    <mergeCell ref="D21:F21"/>
    <mergeCell ref="I20:J20"/>
    <mergeCell ref="I18:J18"/>
    <mergeCell ref="D22:F22"/>
    <mergeCell ref="I22:J22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24B49-474B-4666-A6A1-F2C895CDEB05}">
  <sheetPr codeName="Sheet169">
    <tabColor rgb="FFFFC000"/>
    <pageSetUpPr fitToPage="1"/>
  </sheetPr>
  <dimension ref="B1:V42"/>
  <sheetViews>
    <sheetView topLeftCell="B1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450</v>
      </c>
      <c r="J10" s="24" t="s">
        <v>27</v>
      </c>
      <c r="K10" s="464">
        <v>202306020</v>
      </c>
      <c r="L10" s="465"/>
    </row>
    <row r="11" spans="2:14" ht="20.149999999999999" customHeight="1" x14ac:dyDescent="0.45">
      <c r="B11" s="466" t="s">
        <v>1162</v>
      </c>
      <c r="C11" s="467"/>
      <c r="D11" s="468"/>
      <c r="E11" s="25"/>
      <c r="F11" s="469" t="str">
        <f>VLOOKUP(H10,'Delivery Location'!A$4:N$466,2,0)</f>
        <v xml:space="preserve">FOOD REPUBLIC PTE LTD                                  City Square@Drink Stall #14A                            180 Kitchener Road #04-31                  Singapore 208539                                           </v>
      </c>
      <c r="G11" s="470"/>
      <c r="H11" s="471"/>
      <c r="J11" s="26" t="s">
        <v>9</v>
      </c>
      <c r="K11" s="478">
        <v>45078</v>
      </c>
      <c r="L11" s="479"/>
    </row>
    <row r="12" spans="2:14" ht="20.149999999999999" customHeight="1" x14ac:dyDescent="0.45">
      <c r="B12" s="480" t="s">
        <v>1163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  <c r="N12" s="19" t="s">
        <v>968</v>
      </c>
    </row>
    <row r="13" spans="2:14" ht="20.149999999999999" customHeight="1" x14ac:dyDescent="0.45">
      <c r="B13" s="480" t="s">
        <v>1164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  <c r="N13" s="19" t="s">
        <v>1272</v>
      </c>
    </row>
    <row r="14" spans="2:14" ht="20.149999999999999" customHeight="1" x14ac:dyDescent="0.45">
      <c r="B14" s="480" t="s">
        <v>1165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  <c r="N14" s="19" t="s">
        <v>1158</v>
      </c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/>
      <c r="C18" s="212" t="s">
        <v>704</v>
      </c>
      <c r="D18" s="487" t="str">
        <f>VLOOKUP(C18,'Sales Master'!B$3:D$537,2,)</f>
        <v>Strawberry Puree 草莓</v>
      </c>
      <c r="E18" s="487"/>
      <c r="F18" s="487"/>
      <c r="G18" s="76">
        <v>5</v>
      </c>
      <c r="H18" s="183" t="str">
        <f>VLOOKUP(C18,'Sales Master'!$B$3:$F$2420,5,0)</f>
        <v>1 KG/ Box盒</v>
      </c>
      <c r="I18" s="513" t="str">
        <f>VLOOKUP(C18,'Sales Master'!$B$3:$E$2420,4,0)</f>
        <v>DO!</v>
      </c>
      <c r="J18" s="513"/>
      <c r="K18" s="83">
        <f>VLOOKUP(C18,'Sales Master'!B$3:I$537,8,0)</f>
        <v>8</v>
      </c>
      <c r="L18" s="84">
        <f>K18*G18</f>
        <v>40</v>
      </c>
      <c r="N18" s="145">
        <f>VLOOKUP(C18,'Sales Master'!$B$3:$DA$2279,104,0)</f>
        <v>4.68</v>
      </c>
      <c r="O18" s="145">
        <f>K18-N18</f>
        <v>3.3200000000000003</v>
      </c>
      <c r="P18" s="145">
        <f>O18*G18</f>
        <v>16.600000000000001</v>
      </c>
      <c r="R18" s="170">
        <f>N18*G18*0.07</f>
        <v>1.6380000000000001</v>
      </c>
      <c r="S18" s="170">
        <f>N18*G18*0.08</f>
        <v>1.8719999999999999</v>
      </c>
      <c r="T18" s="93"/>
      <c r="U18" s="93"/>
      <c r="V18" s="93"/>
    </row>
    <row r="19" spans="2:22" ht="20.149999999999999" customHeight="1" x14ac:dyDescent="0.45">
      <c r="B19" s="29"/>
      <c r="C19" s="17"/>
      <c r="D19" s="487"/>
      <c r="E19" s="487"/>
      <c r="F19" s="487"/>
      <c r="G19" s="76"/>
      <c r="H19" s="183"/>
      <c r="I19" s="513"/>
      <c r="J19" s="513"/>
      <c r="K19" s="83"/>
      <c r="L19" s="84"/>
      <c r="N19" s="145"/>
      <c r="O19" s="145"/>
      <c r="P19" s="145"/>
    </row>
    <row r="20" spans="2:22" ht="20.149999999999999" customHeight="1" x14ac:dyDescent="0.45">
      <c r="B20" s="29"/>
      <c r="C20" s="17"/>
      <c r="D20" s="487"/>
      <c r="E20" s="487"/>
      <c r="F20" s="487"/>
      <c r="G20" s="76"/>
      <c r="H20" s="183"/>
      <c r="I20" s="513"/>
      <c r="J20" s="513"/>
      <c r="K20" s="83"/>
      <c r="L20" s="84"/>
      <c r="N20" s="145"/>
      <c r="O20" s="145"/>
      <c r="P20" s="145"/>
      <c r="R20" s="170">
        <f>N20*G20*0.07</f>
        <v>0</v>
      </c>
    </row>
    <row r="21" spans="2:22" ht="20.149999999999999" customHeight="1" x14ac:dyDescent="0.45">
      <c r="B21" s="29"/>
      <c r="C21" s="17"/>
      <c r="D21" s="487"/>
      <c r="E21" s="487"/>
      <c r="F21" s="487"/>
      <c r="G21" s="76"/>
      <c r="H21" s="183"/>
      <c r="I21" s="513"/>
      <c r="J21" s="513"/>
      <c r="K21" s="83"/>
      <c r="L21" s="84"/>
      <c r="N21" s="145"/>
      <c r="O21" s="145"/>
      <c r="P21" s="145"/>
    </row>
    <row r="22" spans="2:22" ht="20.149999999999999" customHeight="1" x14ac:dyDescent="0.45">
      <c r="B22" s="29"/>
      <c r="C22" s="17"/>
      <c r="G22" s="76"/>
      <c r="H22" s="56"/>
      <c r="I22" s="56"/>
      <c r="J22" s="56"/>
      <c r="K22" s="30"/>
      <c r="L22" s="31"/>
    </row>
    <row r="23" spans="2:22" ht="20.149999999999999" customHeight="1" x14ac:dyDescent="0.45">
      <c r="B23" s="29"/>
      <c r="C23" s="17"/>
      <c r="D23" s="487"/>
      <c r="E23" s="487"/>
      <c r="F23" s="487"/>
      <c r="G23" s="76"/>
      <c r="H23" s="56"/>
      <c r="I23" s="494"/>
      <c r="J23" s="494"/>
      <c r="K23" s="30"/>
      <c r="L23" s="31"/>
    </row>
    <row r="24" spans="2:22" ht="20.149999999999999" customHeight="1" x14ac:dyDescent="0.45">
      <c r="B24" s="29"/>
      <c r="C24" s="17"/>
      <c r="D24" s="487"/>
      <c r="E24" s="487"/>
      <c r="F24" s="487"/>
      <c r="G24" s="76"/>
      <c r="H24" s="56"/>
      <c r="I24" s="494"/>
      <c r="J24" s="494"/>
      <c r="K24" s="30"/>
      <c r="L24" s="31"/>
    </row>
    <row r="25" spans="2:22" ht="20.149999999999999" customHeight="1" x14ac:dyDescent="0.45">
      <c r="B25" s="29"/>
      <c r="C25" s="17"/>
      <c r="D25" s="487"/>
      <c r="E25" s="487"/>
      <c r="F25" s="487"/>
      <c r="G25" s="76"/>
      <c r="H25" s="56"/>
      <c r="I25" s="494"/>
      <c r="J25" s="494"/>
      <c r="K25" s="30"/>
      <c r="L25" s="31"/>
    </row>
    <row r="26" spans="2:22" ht="20.149999999999999" customHeight="1" x14ac:dyDescent="0.45">
      <c r="B26" s="29"/>
      <c r="C26" s="17"/>
      <c r="D26" s="487"/>
      <c r="E26" s="487"/>
      <c r="F26" s="487"/>
      <c r="G26" s="76"/>
      <c r="H26" s="56"/>
      <c r="I26" s="494"/>
      <c r="J26" s="494"/>
      <c r="K26" s="30"/>
      <c r="L26" s="31"/>
    </row>
    <row r="27" spans="2:22" ht="20.149999999999999" customHeight="1" x14ac:dyDescent="0.45">
      <c r="B27" s="29"/>
      <c r="C27" s="17"/>
      <c r="D27" s="487"/>
      <c r="E27" s="487"/>
      <c r="F27" s="487"/>
      <c r="G27" s="76"/>
      <c r="H27" s="56"/>
      <c r="I27" s="494"/>
      <c r="J27" s="494"/>
      <c r="K27" s="30"/>
      <c r="L27" s="31"/>
    </row>
    <row r="28" spans="2:22" ht="20.149999999999999" customHeight="1" x14ac:dyDescent="0.45">
      <c r="B28" s="104"/>
      <c r="C28" s="105"/>
      <c r="D28" s="514"/>
      <c r="E28" s="514"/>
      <c r="F28" s="514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SUM(L18:L29)</f>
        <v>40</v>
      </c>
      <c r="M30" s="63">
        <f>SUM(P18:P30)</f>
        <v>16.600000000000001</v>
      </c>
      <c r="N30" s="133">
        <f>M30/L30</f>
        <v>0.41500000000000004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40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3.5999999999999996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43.6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666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7">
    <mergeCell ref="D25:F25"/>
    <mergeCell ref="I25:J25"/>
    <mergeCell ref="J32:K32"/>
    <mergeCell ref="J34:K34"/>
    <mergeCell ref="D26:F26"/>
    <mergeCell ref="I26:J26"/>
    <mergeCell ref="D27:F27"/>
    <mergeCell ref="I27:J27"/>
    <mergeCell ref="D28:F28"/>
    <mergeCell ref="J30:K30"/>
    <mergeCell ref="D21:F21"/>
    <mergeCell ref="I21:J21"/>
    <mergeCell ref="D23:F23"/>
    <mergeCell ref="I23:J23"/>
    <mergeCell ref="D24:F24"/>
    <mergeCell ref="I24:J24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82" priority="1"/>
  </conditionalFormatting>
  <conditionalFormatting sqref="C19:C22">
    <cfRule type="duplicateValues" dxfId="181" priority="4"/>
  </conditionalFormatting>
  <conditionalFormatting sqref="C23">
    <cfRule type="duplicateValues" dxfId="180" priority="5"/>
  </conditionalFormatting>
  <conditionalFormatting sqref="C24">
    <cfRule type="duplicateValues" dxfId="179" priority="3"/>
  </conditionalFormatting>
  <conditionalFormatting sqref="C25">
    <cfRule type="duplicateValues" dxfId="178" priority="2"/>
  </conditionalFormatting>
  <conditionalFormatting sqref="C27">
    <cfRule type="duplicateValues" dxfId="177" priority="6"/>
  </conditionalFormatting>
  <pageMargins left="0.70866141732283472" right="0.31496062992125984" top="0.23622047244094491" bottom="0.23622047244094491" header="0.31496062992125984" footer="0.31496062992125984"/>
  <pageSetup paperSize="9" scale="77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7EF42-3584-4846-BE4D-1138C1D5E364}">
  <sheetPr>
    <tabColor rgb="FF7030A0"/>
    <pageSetUpPr fitToPage="1"/>
  </sheetPr>
  <dimension ref="B1:P41"/>
  <sheetViews>
    <sheetView topLeftCell="B23" workbookViewId="0">
      <selection activeCell="B1" sqref="B1:L4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453</v>
      </c>
      <c r="J10" s="24" t="s">
        <v>27</v>
      </c>
      <c r="K10" s="464">
        <v>202411516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Koufu - Drink                                             4 Bukit Batok Street 41,                       #01-22/23/24/25/26/27/28,                       Le Quest Mall, Singapore 657991</v>
      </c>
      <c r="G11" s="470"/>
      <c r="H11" s="471"/>
      <c r="J11" s="26" t="s">
        <v>9</v>
      </c>
      <c r="K11" s="478">
        <v>45621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846</v>
      </c>
      <c r="D18" s="487" t="str">
        <f>VLOOKUP(C18,'Sales Master'!B$3:D$537,2,)</f>
        <v>Pearl Barley 薏米</v>
      </c>
      <c r="E18" s="487"/>
      <c r="F18" s="487"/>
      <c r="G18" s="17">
        <v>1</v>
      </c>
      <c r="H18" s="85" t="str">
        <f>VLOOKUP(C18,'Sales Master'!$B$3:$F$2488,5,0)</f>
        <v>5 KG</v>
      </c>
      <c r="I18" s="484" t="str">
        <f>VLOOKUP(C18,'Sales Master'!$B$3:$E$2488,4,0)</f>
        <v>-</v>
      </c>
      <c r="J18" s="484"/>
      <c r="K18" s="30">
        <f>VLOOKUP(C18,'Sales Master'!$B$3:$J$537,9,0)</f>
        <v>10</v>
      </c>
      <c r="L18" s="31">
        <f>K18*G18</f>
        <v>10</v>
      </c>
      <c r="N18" s="145">
        <f>VLOOKUP(C18,'Sales Master'!$B$3:$DA$2279,104,0)</f>
        <v>7.6</v>
      </c>
      <c r="O18" s="145">
        <f>K18-N18</f>
        <v>2.4000000000000004</v>
      </c>
      <c r="P18" s="145">
        <f>O18*G18</f>
        <v>2.4000000000000004</v>
      </c>
    </row>
    <row r="19" spans="2:16" ht="20.149999999999999" customHeight="1" x14ac:dyDescent="0.45">
      <c r="B19" s="29"/>
      <c r="C19" s="212" t="s">
        <v>2174</v>
      </c>
      <c r="D19" s="487" t="str">
        <f>VLOOKUP(C19,'Sales Master'!B$3:D$537,2,)</f>
        <v>Lychee in Syrup 荔枝</v>
      </c>
      <c r="E19" s="487"/>
      <c r="F19" s="487"/>
      <c r="G19" s="17">
        <v>1</v>
      </c>
      <c r="H19" s="85" t="str">
        <f>VLOOKUP(C19,'Sales Master'!$B$3:$F$2488,5,0)</f>
        <v>(567gm x 12)/ Ctn箱</v>
      </c>
      <c r="I19" s="484" t="str">
        <f>VLOOKUP(C19,'Sales Master'!$B$3:$E$2488,4,0)</f>
        <v>GoldenBoy</v>
      </c>
      <c r="J19" s="484"/>
      <c r="K19" s="30">
        <f>VLOOKUP(C19,'Sales Master'!$B$3:$J$537,9,0)</f>
        <v>22</v>
      </c>
      <c r="L19" s="31">
        <f>K19*G19</f>
        <v>22</v>
      </c>
      <c r="N19" s="145">
        <f>VLOOKUP(C19,'Sales Master'!$B$3:$DA$2279,104,0)</f>
        <v>19.5</v>
      </c>
      <c r="O19" s="145">
        <f>K19-N19</f>
        <v>2.5</v>
      </c>
      <c r="P19" s="145">
        <f>O19*G19</f>
        <v>2.5</v>
      </c>
    </row>
    <row r="20" spans="2:16" ht="20.149999999999999" customHeight="1" x14ac:dyDescent="0.45">
      <c r="B20" s="29"/>
      <c r="C20" s="212"/>
      <c r="D20" s="487"/>
      <c r="E20" s="487"/>
      <c r="F20" s="487"/>
      <c r="G20" s="17"/>
      <c r="H20" s="85"/>
      <c r="I20" s="484"/>
      <c r="J20" s="484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2"/>
      <c r="D21" s="487"/>
      <c r="E21" s="487"/>
      <c r="F21" s="487"/>
      <c r="G21" s="17"/>
      <c r="H21" s="56"/>
      <c r="I21" s="494"/>
      <c r="J21" s="494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2"/>
      <c r="D22" s="487"/>
      <c r="E22" s="487"/>
      <c r="F22" s="487"/>
      <c r="G22" s="17"/>
      <c r="H22" s="56"/>
      <c r="I22" s="494"/>
      <c r="J22" s="494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2"/>
      <c r="D23" s="487"/>
      <c r="E23" s="487"/>
      <c r="F23" s="487"/>
      <c r="G23" s="17"/>
      <c r="H23" s="56"/>
      <c r="I23" s="494"/>
      <c r="J23" s="494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17"/>
      <c r="G24" s="17"/>
      <c r="H24" s="56"/>
      <c r="I24" s="17"/>
      <c r="J24" s="17"/>
      <c r="K24" s="30"/>
      <c r="L24" s="31"/>
    </row>
    <row r="25" spans="2:16" ht="20.149999999999999" customHeight="1" x14ac:dyDescent="0.45">
      <c r="B25" s="29"/>
      <c r="C25" s="17"/>
      <c r="D25" s="487"/>
      <c r="E25" s="487"/>
      <c r="F25" s="487"/>
      <c r="G25" s="17"/>
      <c r="H25" s="56"/>
      <c r="I25" s="56"/>
      <c r="J25" s="17"/>
      <c r="K25" s="30"/>
      <c r="L25" s="31"/>
    </row>
    <row r="26" spans="2:16" ht="20.149999999999999" customHeight="1" x14ac:dyDescent="0.45">
      <c r="B26" s="29"/>
      <c r="C26" s="17"/>
      <c r="D26" s="487"/>
      <c r="E26" s="487"/>
      <c r="F26" s="487"/>
      <c r="G26" s="17"/>
      <c r="H26" s="17"/>
      <c r="I26" s="17"/>
      <c r="J26" s="17"/>
      <c r="K26" s="30"/>
      <c r="L26" s="31"/>
    </row>
    <row r="27" spans="2:16" ht="20.149999999999999" customHeight="1" thickBot="1" x14ac:dyDescent="0.5">
      <c r="B27" s="32"/>
      <c r="C27" s="33"/>
      <c r="D27" s="488"/>
      <c r="E27" s="488"/>
      <c r="F27" s="488"/>
      <c r="G27" s="33"/>
      <c r="H27" s="33"/>
      <c r="I27" s="33"/>
      <c r="J27" s="33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89" t="s">
        <v>13</v>
      </c>
      <c r="K29" s="490"/>
      <c r="L29" s="38">
        <f>SUM(L17:L27)</f>
        <v>32</v>
      </c>
      <c r="M29" s="63">
        <f>SUM(P18:P21)-L29*0.02</f>
        <v>4.2600000000000007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91" t="s">
        <v>19</v>
      </c>
      <c r="K31" s="492"/>
      <c r="L31" s="41">
        <f>L29-L30</f>
        <v>32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2.88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85" t="s">
        <v>21</v>
      </c>
      <c r="K33" s="486"/>
      <c r="L33" s="43">
        <f>L31+L32</f>
        <v>34.880000000000003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0:F20"/>
    <mergeCell ref="I20:J20"/>
    <mergeCell ref="D19:F19"/>
    <mergeCell ref="I19:J19"/>
    <mergeCell ref="D18:F18"/>
    <mergeCell ref="I18:J18"/>
    <mergeCell ref="D17:F17"/>
    <mergeCell ref="D21:F21"/>
    <mergeCell ref="I21:J21"/>
    <mergeCell ref="D27:F27"/>
    <mergeCell ref="J29:K29"/>
    <mergeCell ref="J31:K31"/>
    <mergeCell ref="J33:K33"/>
    <mergeCell ref="D22:F22"/>
    <mergeCell ref="I22:J22"/>
    <mergeCell ref="D23:F23"/>
    <mergeCell ref="I23:J23"/>
    <mergeCell ref="D25:F25"/>
    <mergeCell ref="D26:F26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49132-5F9E-4245-8730-6F2CBFAE8F61}">
  <sheetPr>
    <tabColor rgb="FF7030A0"/>
    <pageSetUpPr fitToPage="1"/>
  </sheetPr>
  <dimension ref="B1:P43"/>
  <sheetViews>
    <sheetView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454</v>
      </c>
      <c r="J10" s="24" t="s">
        <v>27</v>
      </c>
      <c r="K10" s="464">
        <v>202411145</v>
      </c>
      <c r="L10" s="465"/>
    </row>
    <row r="11" spans="2:12" ht="20.149999999999999" customHeight="1" x14ac:dyDescent="0.45">
      <c r="B11" s="466" t="s">
        <v>2200</v>
      </c>
      <c r="C11" s="467"/>
      <c r="D11" s="468"/>
      <c r="E11" s="25"/>
      <c r="F11" s="469" t="str">
        <f>VLOOKUP(H10,'Delivery Location'!A$4:N$466,2,0)</f>
        <v>Fine Food @ NUS                                      1 Create Way #01-04. NUS University Town, Singapore 138602</v>
      </c>
      <c r="G11" s="470"/>
      <c r="H11" s="471"/>
      <c r="J11" s="26" t="s">
        <v>9</v>
      </c>
      <c r="K11" s="478">
        <v>45602</v>
      </c>
      <c r="L11" s="479"/>
    </row>
    <row r="12" spans="2:12" ht="20.149999999999999" customHeight="1" x14ac:dyDescent="0.45">
      <c r="B12" s="480" t="s">
        <v>355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2" ht="20.149999999999999" customHeight="1" x14ac:dyDescent="0.45">
      <c r="B13" s="480" t="s">
        <v>356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357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69" t="s">
        <v>358</v>
      </c>
      <c r="C15" s="570"/>
      <c r="D15" s="571"/>
      <c r="E15" s="21"/>
      <c r="F15" s="475"/>
      <c r="G15" s="476"/>
      <c r="H15" s="477"/>
      <c r="J15" s="27" t="s">
        <v>11</v>
      </c>
      <c r="K15" s="495" t="s">
        <v>1450</v>
      </c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2167</v>
      </c>
      <c r="D18" s="487" t="str">
        <f>VLOOKUP(C18,'Sales Master'!B$3:D$537,2,)</f>
        <v>Coconut Sugar Syrup 椰糖浆</v>
      </c>
      <c r="E18" s="487"/>
      <c r="F18" s="487"/>
      <c r="G18" s="76">
        <v>6</v>
      </c>
      <c r="H18" s="186" t="str">
        <f>VLOOKUP(C18,'Sales Master'!$B$3:$F$2488,5,0)</f>
        <v>GW: 5 KG/ Btl支</v>
      </c>
      <c r="I18" s="519" t="str">
        <f>VLOOKUP(C18,'Sales Master'!$B$3:$E$2488,4,0)</f>
        <v>DO!</v>
      </c>
      <c r="J18" s="519"/>
      <c r="K18" s="80">
        <f>VLOOKUP(C18,'Sales Master'!B$3:Q$2301,16,0)</f>
        <v>0</v>
      </c>
      <c r="L18" s="64">
        <f>K18*G18</f>
        <v>0</v>
      </c>
      <c r="M18" s="65"/>
      <c r="N18" s="145">
        <f>VLOOKUP(C18,'Sales Master'!$B$3:$DA$2279,104,0)</f>
        <v>0</v>
      </c>
      <c r="O18" s="145">
        <f>K18-N18</f>
        <v>0</v>
      </c>
      <c r="P18" s="145">
        <f>O18*G18</f>
        <v>0</v>
      </c>
    </row>
    <row r="19" spans="2:16" ht="20.149999999999999" customHeight="1" x14ac:dyDescent="0.45">
      <c r="B19" s="29"/>
      <c r="C19" s="212"/>
      <c r="D19" s="487"/>
      <c r="E19" s="487"/>
      <c r="F19" s="487"/>
      <c r="G19" s="76"/>
      <c r="H19" s="186"/>
      <c r="I19" s="519"/>
      <c r="J19" s="519"/>
      <c r="K19" s="8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87"/>
      <c r="E20" s="487"/>
      <c r="F20" s="487"/>
      <c r="G20" s="76"/>
      <c r="H20" s="186"/>
      <c r="I20" s="519"/>
      <c r="J20" s="519"/>
      <c r="K20" s="8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87"/>
      <c r="E21" s="487"/>
      <c r="F21" s="487"/>
      <c r="G21" s="76"/>
      <c r="H21" s="56"/>
      <c r="I21" s="494"/>
      <c r="J21" s="494"/>
      <c r="K21" s="80"/>
      <c r="L21" s="64"/>
      <c r="M21" s="65"/>
    </row>
    <row r="22" spans="2:16" ht="20.149999999999999" customHeight="1" x14ac:dyDescent="0.45">
      <c r="B22" s="29"/>
      <c r="C22" s="195"/>
      <c r="D22" s="572"/>
      <c r="E22" s="572"/>
      <c r="F22" s="572"/>
      <c r="G22" s="76"/>
      <c r="H22" s="82"/>
      <c r="I22" s="447"/>
      <c r="J22" s="447"/>
      <c r="K22" s="205"/>
      <c r="L22" s="64"/>
      <c r="M22" s="65"/>
    </row>
    <row r="23" spans="2:16" ht="20.149999999999999" customHeight="1" x14ac:dyDescent="0.45">
      <c r="B23" s="29"/>
      <c r="C23" s="206"/>
      <c r="D23" s="65"/>
      <c r="E23" s="65"/>
      <c r="F23" s="65"/>
      <c r="G23" s="65"/>
      <c r="H23" s="196"/>
      <c r="I23" s="196"/>
      <c r="J23" s="196"/>
      <c r="K23" s="207"/>
      <c r="L23" s="64"/>
      <c r="M23" s="65"/>
    </row>
    <row r="24" spans="2:16" ht="20.149999999999999" customHeight="1" x14ac:dyDescent="0.45">
      <c r="B24" s="29"/>
      <c r="C24" s="18" t="s">
        <v>1218</v>
      </c>
      <c r="D24" s="487"/>
      <c r="E24" s="487"/>
      <c r="F24" s="487"/>
      <c r="G24" s="76"/>
      <c r="H24" s="56"/>
      <c r="I24" s="494"/>
      <c r="J24" s="494"/>
      <c r="K24" s="80"/>
      <c r="L24" s="64"/>
      <c r="M24" s="65"/>
    </row>
    <row r="25" spans="2:16" ht="20.149999999999999" customHeight="1" x14ac:dyDescent="0.45">
      <c r="B25" s="29"/>
      <c r="C25" s="147" t="s">
        <v>1356</v>
      </c>
      <c r="G25" s="76"/>
      <c r="H25" s="56"/>
      <c r="I25" s="85"/>
      <c r="J25" s="85"/>
      <c r="K25" s="80"/>
      <c r="L25" s="64"/>
      <c r="M25" s="65"/>
    </row>
    <row r="26" spans="2:16" ht="20.149999999999999" customHeight="1" x14ac:dyDescent="0.45">
      <c r="B26" s="29"/>
      <c r="C26" s="147" t="s">
        <v>1303</v>
      </c>
      <c r="G26" s="76"/>
      <c r="H26" s="56"/>
      <c r="I26" s="85"/>
      <c r="J26" s="85"/>
      <c r="K26" s="80"/>
      <c r="L26" s="64"/>
      <c r="M26" s="65"/>
    </row>
    <row r="27" spans="2:16" ht="20.149999999999999" customHeight="1" x14ac:dyDescent="0.45">
      <c r="B27" s="29"/>
      <c r="C27" s="17"/>
      <c r="D27" s="487"/>
      <c r="E27" s="487"/>
      <c r="F27" s="487"/>
      <c r="G27" s="76"/>
      <c r="H27" s="56"/>
      <c r="I27" s="494"/>
      <c r="J27" s="494"/>
      <c r="K27" s="80"/>
      <c r="L27" s="64"/>
      <c r="M27" s="65"/>
    </row>
    <row r="28" spans="2:16" ht="20.149999999999999" customHeight="1" x14ac:dyDescent="0.45">
      <c r="B28" s="29"/>
      <c r="C28" s="17"/>
      <c r="D28" s="487"/>
      <c r="E28" s="487"/>
      <c r="F28" s="487"/>
      <c r="G28" s="76"/>
      <c r="H28" s="56"/>
      <c r="I28" s="494"/>
      <c r="J28" s="494"/>
      <c r="K28" s="80"/>
      <c r="L28" s="64"/>
    </row>
    <row r="29" spans="2:16" ht="20.149999999999999" customHeight="1" thickBot="1" x14ac:dyDescent="0.5">
      <c r="B29" s="32"/>
      <c r="C29" s="33"/>
      <c r="D29" s="488"/>
      <c r="E29" s="488"/>
      <c r="F29" s="488"/>
      <c r="G29" s="33"/>
      <c r="H29" s="57"/>
      <c r="I29" s="459"/>
      <c r="J29" s="459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89" t="s">
        <v>13</v>
      </c>
      <c r="K31" s="490"/>
      <c r="L31" s="38">
        <f>SUM(L17:L30)</f>
        <v>0</v>
      </c>
      <c r="M31" s="63">
        <f>SUM(P18:P30)</f>
        <v>0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91" t="s">
        <v>19</v>
      </c>
      <c r="K33" s="492"/>
      <c r="L33" s="41">
        <f>L31-L32</f>
        <v>0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0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85" t="s">
        <v>21</v>
      </c>
      <c r="K35" s="486"/>
      <c r="L35" s="43">
        <f>L33+L34</f>
        <v>0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6">
    <mergeCell ref="D27:F27"/>
    <mergeCell ref="I27:J27"/>
    <mergeCell ref="J35:K35"/>
    <mergeCell ref="D28:F28"/>
    <mergeCell ref="I28:J28"/>
    <mergeCell ref="D29:F29"/>
    <mergeCell ref="I29:J29"/>
    <mergeCell ref="J31:K31"/>
    <mergeCell ref="J33:K33"/>
    <mergeCell ref="D21:F21"/>
    <mergeCell ref="I21:J21"/>
    <mergeCell ref="D22:F22"/>
    <mergeCell ref="I22:J22"/>
    <mergeCell ref="D24:F24"/>
    <mergeCell ref="I24:J24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hyperlinks>
    <hyperlink ref="B15" r:id="rId1" xr:uid="{EFF11EFC-7C9B-4697-A7FF-5CB63B9597ED}"/>
  </hyperlinks>
  <pageMargins left="0.70866141732283472" right="0.31496062992125984" top="0.59055118110236227" bottom="0" header="0.31496062992125984" footer="0.31496062992125984"/>
  <pageSetup paperSize="9" scale="77" orientation="portrait" horizontalDpi="300" verticalDpi="300" r:id="rId2"/>
  <drawing r:id="rId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AA13F-350A-4262-9930-D57874DB6545}">
  <sheetPr codeName="Sheet110">
    <tabColor rgb="FFFFC000"/>
    <pageSetUpPr fitToPage="1"/>
  </sheetPr>
  <dimension ref="B1:P44"/>
  <sheetViews>
    <sheetView topLeftCell="A26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7.1796875" style="19" customWidth="1"/>
    <col min="9" max="9" width="1.8164062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459</v>
      </c>
      <c r="J10" s="24" t="s">
        <v>27</v>
      </c>
      <c r="K10" s="464">
        <v>202504221</v>
      </c>
      <c r="L10" s="465"/>
      <c r="N10" s="19" t="s">
        <v>868</v>
      </c>
    </row>
    <row r="11" spans="2:14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Koufu -喜多福                                                 Blk 267 Compassvale Link                           #01-02 Singapore 540267</v>
      </c>
      <c r="G11" s="470"/>
      <c r="H11" s="471"/>
      <c r="J11" s="26" t="s">
        <v>9</v>
      </c>
      <c r="K11" s="478">
        <v>45756</v>
      </c>
      <c r="L11" s="479"/>
    </row>
    <row r="12" spans="2:14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331</v>
      </c>
      <c r="L12" s="483"/>
    </row>
    <row r="13" spans="2:14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4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4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791</v>
      </c>
      <c r="D18" s="487" t="str">
        <f>VLOOKUP(C18,'Sales Master'!B$3:D$537,2,)</f>
        <v>Potato Starch 风车粉</v>
      </c>
      <c r="E18" s="487"/>
      <c r="F18" s="487"/>
      <c r="G18" s="17">
        <v>1</v>
      </c>
      <c r="H18" s="186" t="str">
        <f>VLOOKUP(C18,'Sales Master'!B$3:F$2424,5,0)</f>
        <v>5 kg/ Pkt包</v>
      </c>
      <c r="I18" s="484" t="str">
        <f>VLOOKUP(C18,'Sales Master'!B$3:E$2424,4,0)</f>
        <v>RE-PACK</v>
      </c>
      <c r="J18" s="484"/>
      <c r="K18" s="30">
        <f>VLOOKUP(C18,'Sales Master'!B$3:BC$537,54,0)</f>
        <v>13</v>
      </c>
      <c r="L18" s="64">
        <f t="shared" ref="L18" si="0">K18*G18</f>
        <v>13</v>
      </c>
      <c r="M18" s="65"/>
      <c r="N18" s="145">
        <f>VLOOKUP(C18,'Sales Master'!$B$3:$DA$2279,104,0)</f>
        <v>8</v>
      </c>
      <c r="O18" s="145">
        <f t="shared" ref="O18" si="1">K18-N18</f>
        <v>5</v>
      </c>
      <c r="P18" s="145">
        <f t="shared" ref="P18" si="2">O18*G18</f>
        <v>5</v>
      </c>
    </row>
    <row r="19" spans="2:16" ht="20.149999999999999" customHeight="1" x14ac:dyDescent="0.45">
      <c r="B19" s="29"/>
      <c r="C19" s="212" t="s">
        <v>825</v>
      </c>
      <c r="D19" s="487" t="str">
        <f>VLOOKUP(C19,'Sales Master'!B$3:D$537,2,)</f>
        <v>Green Bean 绿豆</v>
      </c>
      <c r="E19" s="487"/>
      <c r="F19" s="487"/>
      <c r="G19" s="17">
        <v>2</v>
      </c>
      <c r="H19" s="186" t="str">
        <f>VLOOKUP(C19,'Sales Master'!B$3:F$2424,5,0)</f>
        <v>5 KG</v>
      </c>
      <c r="I19" s="484" t="str">
        <f>VLOOKUP(C19,'Sales Master'!B$3:E$2424,4,0)</f>
        <v>-</v>
      </c>
      <c r="J19" s="484"/>
      <c r="K19" s="30">
        <f>VLOOKUP(C19,'Sales Master'!B$3:BC$537,54,0)</f>
        <v>13</v>
      </c>
      <c r="L19" s="64">
        <f>K19*G19</f>
        <v>26</v>
      </c>
      <c r="M19" s="65"/>
      <c r="N19" s="145">
        <f>VLOOKUP(C19,'Sales Master'!$B$3:$DA$2279,104,0)</f>
        <v>8.75</v>
      </c>
      <c r="O19" s="145">
        <f>K19-N19</f>
        <v>4.25</v>
      </c>
      <c r="P19" s="145">
        <f>O19*G19</f>
        <v>8.5</v>
      </c>
    </row>
    <row r="20" spans="2:16" ht="20.149999999999999" customHeight="1" x14ac:dyDescent="0.45">
      <c r="B20" s="29"/>
      <c r="C20" s="212" t="s">
        <v>837</v>
      </c>
      <c r="D20" s="487" t="str">
        <f>VLOOKUP(C20,'Sales Master'!B$3:D$537,2,)</f>
        <v>Black Glutinous Rice 黑糯米</v>
      </c>
      <c r="E20" s="487"/>
      <c r="F20" s="487"/>
      <c r="G20" s="17">
        <v>1</v>
      </c>
      <c r="H20" s="186" t="str">
        <f>VLOOKUP(C20,'Sales Master'!B$3:F$2424,5,0)</f>
        <v>5 KGS</v>
      </c>
      <c r="I20" s="484" t="str">
        <f>VLOOKUP(C20,'Sales Master'!B$3:E$2424,4,0)</f>
        <v>-</v>
      </c>
      <c r="J20" s="484"/>
      <c r="K20" s="30">
        <f>VLOOKUP(C20,'Sales Master'!B$3:BC$537,54,0)</f>
        <v>18</v>
      </c>
      <c r="L20" s="64">
        <f t="shared" ref="L20" si="3">K20*G20</f>
        <v>18</v>
      </c>
      <c r="M20" s="65"/>
      <c r="N20" s="145">
        <f>VLOOKUP(C20,'Sales Master'!$B$3:$DA$2279,104,0)</f>
        <v>12</v>
      </c>
      <c r="O20" s="145">
        <f>K20-N20</f>
        <v>6</v>
      </c>
      <c r="P20" s="145">
        <f>O20*G20</f>
        <v>6</v>
      </c>
    </row>
    <row r="21" spans="2:16" ht="20.149999999999999" customHeight="1" x14ac:dyDescent="0.45">
      <c r="B21" s="29"/>
      <c r="C21" s="212" t="s">
        <v>853</v>
      </c>
      <c r="D21" s="487" t="str">
        <f>VLOOKUP(C21,'Sales Master'!B$3:D$537,2,)</f>
        <v>Small Sago 小丸</v>
      </c>
      <c r="E21" s="487"/>
      <c r="F21" s="487"/>
      <c r="G21" s="17">
        <v>1</v>
      </c>
      <c r="H21" s="188" t="str">
        <f>VLOOKUP(C21,'Sales Master'!B$3:F$2424,5,0)</f>
        <v>5 KG</v>
      </c>
      <c r="I21" s="484" t="str">
        <f>VLOOKUP(C21,'Sales Master'!B$3:E$2424,4,0)</f>
        <v>-</v>
      </c>
      <c r="J21" s="484"/>
      <c r="K21" s="30">
        <f>VLOOKUP(C21,'Sales Master'!B$3:BC$537,54,0)</f>
        <v>10</v>
      </c>
      <c r="L21" s="64">
        <f>K21*G21</f>
        <v>10</v>
      </c>
      <c r="M21" s="65"/>
      <c r="N21" s="145">
        <f>VLOOKUP(C21,'Sales Master'!$B$3:$DA$2279,104,0)</f>
        <v>0.70833333333333326</v>
      </c>
      <c r="O21" s="145">
        <f t="shared" ref="O21" si="4">K21-N21</f>
        <v>9.2916666666666661</v>
      </c>
      <c r="P21" s="145">
        <f t="shared" ref="P21" si="5">O21*G21</f>
        <v>9.2916666666666661</v>
      </c>
    </row>
    <row r="22" spans="2:16" ht="20.149999999999999" customHeight="1" x14ac:dyDescent="0.45">
      <c r="B22" s="29"/>
      <c r="C22" s="212" t="s">
        <v>859</v>
      </c>
      <c r="D22" s="487" t="str">
        <f>VLOOKUP(C22,'Sales Master'!B$3:D$537,2,)</f>
        <v>Dried Longan 龙眼干</v>
      </c>
      <c r="E22" s="487"/>
      <c r="F22" s="487"/>
      <c r="G22" s="17">
        <v>2</v>
      </c>
      <c r="H22" s="186" t="str">
        <f>VLOOKUP(C22,'Sales Master'!B$3:F$2424,5,0)</f>
        <v>1 kg</v>
      </c>
      <c r="I22" s="484" t="str">
        <f>VLOOKUP(C22,'Sales Master'!B$3:E$2424,4,0)</f>
        <v>中</v>
      </c>
      <c r="J22" s="484"/>
      <c r="K22" s="30">
        <f>VLOOKUP(C22,'Sales Master'!B$3:BC$537,54,0)</f>
        <v>12</v>
      </c>
      <c r="L22" s="64">
        <f>K22*G22</f>
        <v>24</v>
      </c>
      <c r="M22" s="65"/>
      <c r="N22" s="145">
        <f>VLOOKUP(C22,'Sales Master'!$B$3:$DA$2279,104,0)</f>
        <v>9.6999999999999993</v>
      </c>
      <c r="O22" s="145">
        <f>K22-N22</f>
        <v>2.3000000000000007</v>
      </c>
      <c r="P22" s="145">
        <f>O22*G22</f>
        <v>4.6000000000000014</v>
      </c>
    </row>
    <row r="23" spans="2:16" ht="20.149999999999999" customHeight="1" x14ac:dyDescent="0.45">
      <c r="B23" s="29"/>
      <c r="C23" s="212" t="s">
        <v>868</v>
      </c>
      <c r="D23" s="487" t="str">
        <f>VLOOKUP(C23,'Sales Master'!B$3:D$537,2,)</f>
        <v>Chrysanthemum 菊花</v>
      </c>
      <c r="E23" s="487"/>
      <c r="F23" s="487"/>
      <c r="G23" s="17">
        <v>2</v>
      </c>
      <c r="H23" s="186" t="str">
        <f>VLOOKUP(C23,'Sales Master'!B$3:F$2424,5,0)</f>
        <v>100gm x 10PKT/Bag</v>
      </c>
      <c r="I23" s="484" t="str">
        <f>VLOOKUP(C23,'Sales Master'!B$3:E$2424,4,0)</f>
        <v>-</v>
      </c>
      <c r="J23" s="484"/>
      <c r="K23" s="30">
        <f>VLOOKUP(C23,'Sales Master'!B$3:BC$537,54,0)</f>
        <v>20</v>
      </c>
      <c r="L23" s="64">
        <f>K23*G23</f>
        <v>40</v>
      </c>
      <c r="M23" s="65"/>
      <c r="N23" s="145">
        <f>VLOOKUP(C23,'Sales Master'!$B$3:$DA$2279,104,0)</f>
        <v>16</v>
      </c>
      <c r="O23" s="145">
        <f>K23-N23</f>
        <v>4</v>
      </c>
      <c r="P23" s="145">
        <f>O23*G23</f>
        <v>8</v>
      </c>
    </row>
    <row r="24" spans="2:16" ht="20.149999999999999" customHeight="1" x14ac:dyDescent="0.45">
      <c r="B24" s="29"/>
      <c r="C24" s="212" t="s">
        <v>966</v>
      </c>
      <c r="D24" s="487" t="str">
        <f>VLOOKUP(C24,'Sales Master'!B$3:D$537,2,)</f>
        <v>Coconut Milk 椰浆</v>
      </c>
      <c r="E24" s="487"/>
      <c r="F24" s="487"/>
      <c r="G24" s="17">
        <v>1</v>
      </c>
      <c r="H24" s="186" t="str">
        <f>VLOOKUP(C24,'Sales Master'!B$3:F$2424,5,0)</f>
        <v>(1L x 12bag)/箱</v>
      </c>
      <c r="I24" s="484" t="str">
        <f>VLOOKUP(C24,'Sales Master'!B$3:E$2424,4,0)</f>
        <v>Kara UHT</v>
      </c>
      <c r="J24" s="484"/>
      <c r="K24" s="30">
        <f>VLOOKUP(C24,'Sales Master'!B$3:BC$537,54,0)</f>
        <v>54</v>
      </c>
      <c r="L24" s="64">
        <f>K24*G24</f>
        <v>54</v>
      </c>
      <c r="M24" s="65"/>
      <c r="N24" s="145">
        <f>VLOOKUP(C24,'Sales Master'!$B$3:$DA$2279,104,0)</f>
        <v>35.799999999999997</v>
      </c>
      <c r="O24" s="145">
        <f>K24-N24</f>
        <v>18.200000000000003</v>
      </c>
      <c r="P24" s="145">
        <f>O24*G24</f>
        <v>18.200000000000003</v>
      </c>
    </row>
    <row r="25" spans="2:16" ht="20.149999999999999" customHeight="1" x14ac:dyDescent="0.45">
      <c r="B25" s="29"/>
      <c r="C25" s="212"/>
      <c r="D25" s="487"/>
      <c r="E25" s="487"/>
      <c r="F25" s="487"/>
      <c r="G25" s="17"/>
      <c r="H25" s="188"/>
      <c r="I25" s="484"/>
      <c r="J25" s="484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2"/>
      <c r="D26" s="487"/>
      <c r="E26" s="487"/>
      <c r="F26" s="487"/>
      <c r="G26" s="17"/>
      <c r="H26" s="186"/>
      <c r="I26" s="484"/>
      <c r="J26" s="484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2"/>
      <c r="G27" s="17"/>
      <c r="H27" s="186"/>
      <c r="I27" s="208"/>
      <c r="J27" s="208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212"/>
      <c r="G28" s="17"/>
      <c r="H28" s="186"/>
      <c r="I28" s="208"/>
      <c r="J28" s="208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17"/>
      <c r="G29" s="17"/>
      <c r="H29" s="56"/>
      <c r="I29" s="494"/>
      <c r="J29" s="494"/>
      <c r="K29" s="30"/>
      <c r="L29" s="64"/>
      <c r="M29" s="65"/>
      <c r="N29" s="93"/>
    </row>
    <row r="30" spans="2:16" ht="20.149999999999999" customHeight="1" thickBot="1" x14ac:dyDescent="0.5">
      <c r="B30" s="32"/>
      <c r="C30" s="33"/>
      <c r="D30" s="488"/>
      <c r="E30" s="488"/>
      <c r="F30" s="488"/>
      <c r="G30" s="33"/>
      <c r="H30" s="57"/>
      <c r="I30" s="459"/>
      <c r="J30" s="459"/>
      <c r="K30" s="34"/>
      <c r="L30" s="35"/>
    </row>
    <row r="31" spans="2:16" ht="20.149999999999999" customHeight="1" thickBot="1" x14ac:dyDescent="0.5">
      <c r="B31" s="36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89" t="s">
        <v>13</v>
      </c>
      <c r="K32" s="490"/>
      <c r="L32" s="38">
        <f>SUM(L17:L30)</f>
        <v>185</v>
      </c>
      <c r="M32" s="63">
        <f>SUM(P18:P30)-L32*0.02</f>
        <v>55.891666666666666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91" t="s">
        <v>19</v>
      </c>
      <c r="K34" s="492"/>
      <c r="L34" s="41">
        <f>L32-L33</f>
        <v>185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16.649999999999999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85" t="s">
        <v>21</v>
      </c>
      <c r="K36" s="486"/>
      <c r="L36" s="43">
        <f>L34+L35</f>
        <v>201.65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9">
    <mergeCell ref="D22:F22"/>
    <mergeCell ref="I24:J24"/>
    <mergeCell ref="I22:J22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I26:J26"/>
    <mergeCell ref="I23:J23"/>
    <mergeCell ref="D21:F21"/>
    <mergeCell ref="D26:F26"/>
    <mergeCell ref="D19:F19"/>
    <mergeCell ref="D23:F23"/>
    <mergeCell ref="D20:F20"/>
    <mergeCell ref="D18:F18"/>
    <mergeCell ref="I18:J18"/>
    <mergeCell ref="I19:J19"/>
    <mergeCell ref="I21:J21"/>
    <mergeCell ref="I20:J20"/>
    <mergeCell ref="D24:F24"/>
    <mergeCell ref="D25:F25"/>
    <mergeCell ref="I25:J25"/>
    <mergeCell ref="J34:K34"/>
    <mergeCell ref="J36:K36"/>
    <mergeCell ref="D30:F30"/>
    <mergeCell ref="I30:J30"/>
    <mergeCell ref="I29:J29"/>
    <mergeCell ref="J32:K32"/>
  </mergeCells>
  <pageMargins left="0.70866141732283505" right="0.31496062992126" top="0.59055118110236204" bottom="0" header="0.31496062992126" footer="0.31496062992126"/>
  <pageSetup paperSize="9" scale="75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14840-35B3-4017-B7BC-C612EDEAE749}">
  <sheetPr codeName="Sheet153">
    <tabColor rgb="FF7030A0"/>
    <pageSetUpPr fitToPage="1"/>
  </sheetPr>
  <dimension ref="B1:O42"/>
  <sheetViews>
    <sheetView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482</v>
      </c>
      <c r="J10" s="24" t="s">
        <v>27</v>
      </c>
      <c r="K10" s="464">
        <v>202112469</v>
      </c>
      <c r="L10" s="465"/>
    </row>
    <row r="11" spans="2:12" ht="20.149999999999999" customHeight="1" x14ac:dyDescent="0.45">
      <c r="B11" s="466" t="s">
        <v>1144</v>
      </c>
      <c r="C11" s="467"/>
      <c r="D11" s="468"/>
      <c r="E11" s="25"/>
      <c r="F11" s="469" t="str">
        <f>VLOOKUP(H10,'Delivery Location'!A$4:N$466,2,0)</f>
        <v xml:space="preserve">Koufu - WoodGrove                                30, Woodlands Ave 1 #01-11 Singapore 739065     (Drink)                               </v>
      </c>
      <c r="G11" s="470"/>
      <c r="H11" s="471"/>
      <c r="J11" s="26" t="s">
        <v>9</v>
      </c>
      <c r="K11" s="500" t="s">
        <v>1157</v>
      </c>
      <c r="L11" s="483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7" t="s">
        <v>386</v>
      </c>
      <c r="I17" s="460" t="s">
        <v>385</v>
      </c>
      <c r="J17" s="462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929</v>
      </c>
      <c r="D18" s="487" t="str">
        <f>VLOOKUP(C18,'Sales Master'!B$3:D$537,2,)</f>
        <v>Aloe Vera 芦荟 10mm</v>
      </c>
      <c r="E18" s="487"/>
      <c r="F18" s="487"/>
      <c r="G18" s="76">
        <v>6</v>
      </c>
      <c r="H18" s="56" t="str">
        <f>VLOOKUP(C18,'Sales Master'!$B$3:$F$2488,5,0)</f>
        <v>1 Can X A10</v>
      </c>
      <c r="I18" s="494" t="str">
        <f>VLOOKUP(C18,'Sales Master'!$B$3:$E$2488,4,0)</f>
        <v>Chefs</v>
      </c>
      <c r="J18" s="494"/>
      <c r="K18" s="30">
        <f>VLOOKUP(C18,'Sales Master'!B$3:J$537,9,0)</f>
        <v>10</v>
      </c>
      <c r="L18" s="64">
        <f>K18*G18</f>
        <v>60</v>
      </c>
      <c r="M18" s="65"/>
    </row>
    <row r="19" spans="2:15" ht="20.149999999999999" customHeight="1" x14ac:dyDescent="0.45">
      <c r="B19" s="29"/>
      <c r="C19" s="17" t="s">
        <v>846</v>
      </c>
      <c r="D19" s="487" t="str">
        <f>VLOOKUP(C19,'Sales Master'!B$3:D$537,2,)</f>
        <v>Pearl Barley 薏米</v>
      </c>
      <c r="E19" s="487"/>
      <c r="F19" s="487"/>
      <c r="G19" s="76">
        <v>1</v>
      </c>
      <c r="H19" s="56" t="str">
        <f>VLOOKUP(C19,'Sales Master'!$B$3:$F$2488,5,0)</f>
        <v>5 KG</v>
      </c>
      <c r="I19" s="494" t="str">
        <f>VLOOKUP(C19,'Sales Master'!$B$3:$E$2488,4,0)</f>
        <v>-</v>
      </c>
      <c r="J19" s="494"/>
      <c r="K19" s="30">
        <f>VLOOKUP(C19,'Sales Master'!B$3:J$537,9,0)</f>
        <v>10</v>
      </c>
      <c r="L19" s="64">
        <f>K19*G19</f>
        <v>10</v>
      </c>
      <c r="M19" s="65"/>
    </row>
    <row r="20" spans="2:15" ht="20.149999999999999" customHeight="1" x14ac:dyDescent="0.45">
      <c r="B20" s="29"/>
      <c r="C20" s="17"/>
      <c r="D20" s="487"/>
      <c r="E20" s="487"/>
      <c r="F20" s="487"/>
      <c r="G20" s="17"/>
      <c r="H20" s="56"/>
      <c r="I20" s="458"/>
      <c r="J20" s="458"/>
      <c r="K20" s="30"/>
      <c r="L20" s="64"/>
      <c r="M20" s="65"/>
    </row>
    <row r="21" spans="2:15" ht="20.149999999999999" customHeight="1" x14ac:dyDescent="0.45">
      <c r="B21" s="29"/>
      <c r="C21" s="17"/>
      <c r="D21" s="487"/>
      <c r="E21" s="487"/>
      <c r="F21" s="487"/>
      <c r="G21" s="17"/>
      <c r="H21" s="56"/>
      <c r="I21" s="458"/>
      <c r="J21" s="458"/>
      <c r="K21" s="30"/>
      <c r="L21" s="64"/>
      <c r="M21" s="65"/>
    </row>
    <row r="22" spans="2:15" ht="20.149999999999999" customHeight="1" x14ac:dyDescent="0.45">
      <c r="B22" s="29"/>
      <c r="C22" s="17"/>
      <c r="D22" s="487"/>
      <c r="E22" s="487"/>
      <c r="F22" s="487"/>
      <c r="G22" s="17"/>
      <c r="H22" s="56"/>
      <c r="I22" s="458"/>
      <c r="J22" s="458"/>
      <c r="K22" s="30"/>
      <c r="L22" s="64"/>
      <c r="M22" s="65"/>
    </row>
    <row r="23" spans="2:15" ht="20.149999999999999" customHeight="1" x14ac:dyDescent="0.45">
      <c r="B23" s="29"/>
      <c r="C23" s="17"/>
      <c r="D23" s="487"/>
      <c r="E23" s="487"/>
      <c r="F23" s="487"/>
      <c r="G23" s="17"/>
      <c r="H23" s="56"/>
      <c r="I23" s="458"/>
      <c r="J23" s="458"/>
      <c r="K23" s="30"/>
      <c r="L23" s="64"/>
      <c r="M23" s="65"/>
    </row>
    <row r="24" spans="2:15" ht="20.149999999999999" customHeight="1" x14ac:dyDescent="0.45">
      <c r="B24" s="29"/>
      <c r="C24" s="17"/>
      <c r="D24" s="487"/>
      <c r="E24" s="487"/>
      <c r="F24" s="487"/>
      <c r="G24" s="17"/>
      <c r="H24" s="56"/>
      <c r="I24" s="458"/>
      <c r="J24" s="458"/>
      <c r="K24" s="30"/>
      <c r="L24" s="64"/>
      <c r="M24" s="65"/>
    </row>
    <row r="25" spans="2:15" ht="20.149999999999999" customHeight="1" x14ac:dyDescent="0.45">
      <c r="B25" s="29"/>
      <c r="C25" s="17"/>
      <c r="D25" s="487"/>
      <c r="E25" s="487"/>
      <c r="F25" s="487"/>
      <c r="G25" s="17"/>
      <c r="H25" s="56"/>
      <c r="I25" s="458"/>
      <c r="J25" s="458"/>
      <c r="K25" s="30"/>
      <c r="L25" s="64"/>
      <c r="M25" s="65"/>
    </row>
    <row r="26" spans="2:15" ht="20.149999999999999" customHeight="1" x14ac:dyDescent="0.45">
      <c r="B26" s="29"/>
      <c r="C26" s="17"/>
      <c r="D26" s="487"/>
      <c r="E26" s="487"/>
      <c r="F26" s="487"/>
      <c r="G26" s="17"/>
      <c r="H26" s="56"/>
      <c r="I26" s="458"/>
      <c r="J26" s="458"/>
      <c r="K26" s="30"/>
      <c r="L26" s="64"/>
      <c r="M26" s="65"/>
    </row>
    <row r="27" spans="2:15" ht="20.149999999999999" customHeight="1" x14ac:dyDescent="0.45">
      <c r="B27" s="29"/>
      <c r="C27" s="17"/>
      <c r="D27" s="487"/>
      <c r="E27" s="487"/>
      <c r="F27" s="487"/>
      <c r="G27" s="17"/>
      <c r="H27" s="56"/>
      <c r="I27" s="458"/>
      <c r="J27" s="458"/>
      <c r="K27" s="30"/>
      <c r="L27" s="31"/>
    </row>
    <row r="28" spans="2:15" ht="20.149999999999999" customHeight="1" thickBot="1" x14ac:dyDescent="0.5">
      <c r="B28" s="32"/>
      <c r="C28" s="33"/>
      <c r="D28" s="488"/>
      <c r="E28" s="488"/>
      <c r="F28" s="488"/>
      <c r="G28" s="33"/>
      <c r="H28" s="57"/>
      <c r="I28" s="459"/>
      <c r="J28" s="459"/>
      <c r="K28" s="34"/>
      <c r="L28" s="35"/>
    </row>
    <row r="29" spans="2:15" ht="20.149999999999999" customHeight="1" thickBot="1" x14ac:dyDescent="0.5">
      <c r="B29" s="36"/>
      <c r="L29" s="37"/>
    </row>
    <row r="30" spans="2:15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89" t="s">
        <v>13</v>
      </c>
      <c r="K30" s="490"/>
      <c r="L30" s="38">
        <f>SUM(L17:L28)</f>
        <v>70</v>
      </c>
      <c r="M30" s="63">
        <f>166+26</f>
        <v>192</v>
      </c>
    </row>
    <row r="31" spans="2:15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5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91" t="s">
        <v>19</v>
      </c>
      <c r="K32" s="492"/>
      <c r="L32" s="41">
        <f>L30-L31</f>
        <v>70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6.3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85" t="s">
        <v>21</v>
      </c>
      <c r="K34" s="486"/>
      <c r="L34" s="43">
        <f>L32+L33</f>
        <v>76.3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B1:L8"/>
    <mergeCell ref="J34:K34"/>
    <mergeCell ref="D26:F26"/>
    <mergeCell ref="I26:J26"/>
    <mergeCell ref="D27:F27"/>
    <mergeCell ref="I27:J27"/>
    <mergeCell ref="D28:F28"/>
    <mergeCell ref="I28:J28"/>
    <mergeCell ref="D25:F25"/>
    <mergeCell ref="I25:J25"/>
    <mergeCell ref="J30:K30"/>
    <mergeCell ref="J32:K32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505" right="0.31496062992126" top="0.59055118110236204" bottom="0" header="0.31496062992126" footer="0.31496062992126"/>
  <pageSetup paperSize="9" scale="78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882A5-EF83-4358-A304-A3420F078CB3}">
  <sheetPr codeName="Sheet178">
    <tabColor rgb="FF7030A0"/>
    <pageSetUpPr fitToPage="1"/>
  </sheetPr>
  <dimension ref="B1:O51"/>
  <sheetViews>
    <sheetView topLeftCell="A3" workbookViewId="0">
      <selection activeCell="K42" sqref="K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485</v>
      </c>
      <c r="J10" s="24" t="s">
        <v>27</v>
      </c>
      <c r="K10" s="464">
        <v>202109110</v>
      </c>
      <c r="L10" s="465"/>
    </row>
    <row r="11" spans="2:12" ht="20.149999999999999" customHeight="1" x14ac:dyDescent="0.45">
      <c r="B11" s="466" t="s">
        <v>316</v>
      </c>
      <c r="C11" s="467"/>
      <c r="D11" s="468"/>
      <c r="E11" s="25"/>
      <c r="F11" s="469" t="str">
        <f>VLOOKUP(H10,'Delivery Location'!A$4:N$466,2,0)</f>
        <v xml:space="preserve">Koufu - WoodGrove                                30, Woodlands Ave 1 #01-11 Singapore 739065     (Dim Sum)                               </v>
      </c>
      <c r="G11" s="470"/>
      <c r="H11" s="471"/>
      <c r="J11" s="26" t="s">
        <v>9</v>
      </c>
      <c r="K11" s="500">
        <v>44446</v>
      </c>
      <c r="L11" s="483"/>
    </row>
    <row r="12" spans="2:12" ht="20.149999999999999" customHeight="1" x14ac:dyDescent="0.45">
      <c r="B12" s="480" t="s">
        <v>317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 t="s">
        <v>318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353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50"/>
      <c r="C15" s="51"/>
      <c r="D15" s="52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7" t="s">
        <v>386</v>
      </c>
      <c r="I17" s="460" t="s">
        <v>385</v>
      </c>
      <c r="J17" s="462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966</v>
      </c>
      <c r="D18" s="487" t="str">
        <f>VLOOKUP(C18,'Sales Master'!B$3:D$537,2,)</f>
        <v>Coconut Milk 椰浆</v>
      </c>
      <c r="E18" s="487"/>
      <c r="F18" s="487"/>
      <c r="G18" s="17">
        <v>1</v>
      </c>
      <c r="H18" s="56" t="str">
        <f>VLOOKUP(C18,'Sales Master'!$B$3:$E$537,4,0)</f>
        <v>Kara UHT</v>
      </c>
      <c r="I18" s="458" t="str">
        <f>VLOOKUP(C18,'Sales Master'!$B$3:F$537,5,0)</f>
        <v>(1L x 12bag)/箱</v>
      </c>
      <c r="J18" s="458"/>
      <c r="K18" s="30">
        <f>VLOOKUP(C18,'Sales Master'!B$3:J$537,9,0)</f>
        <v>54</v>
      </c>
      <c r="L18" s="64">
        <f>K18*G18</f>
        <v>54</v>
      </c>
      <c r="M18" s="65"/>
    </row>
    <row r="19" spans="2:15" ht="20.149999999999999" customHeight="1" x14ac:dyDescent="0.45">
      <c r="B19" s="29"/>
      <c r="C19" s="17"/>
      <c r="D19" s="487"/>
      <c r="E19" s="487"/>
      <c r="F19" s="487"/>
      <c r="G19" s="17"/>
      <c r="H19" s="56"/>
      <c r="I19" s="458"/>
      <c r="J19" s="458"/>
      <c r="K19" s="30"/>
      <c r="L19" s="64"/>
      <c r="M19" s="65"/>
    </row>
    <row r="20" spans="2:15" ht="20.149999999999999" customHeight="1" x14ac:dyDescent="0.45">
      <c r="B20" s="29"/>
      <c r="C20" s="17"/>
      <c r="D20" s="487"/>
      <c r="E20" s="487"/>
      <c r="F20" s="487"/>
      <c r="G20" s="17"/>
      <c r="H20" s="56"/>
      <c r="I20" s="458"/>
      <c r="J20" s="458"/>
      <c r="K20" s="30"/>
      <c r="L20" s="64"/>
      <c r="M20" s="65"/>
    </row>
    <row r="21" spans="2:15" ht="20.149999999999999" customHeight="1" x14ac:dyDescent="0.45">
      <c r="B21" s="29"/>
      <c r="C21" s="17"/>
      <c r="D21" s="487"/>
      <c r="E21" s="487"/>
      <c r="F21" s="487"/>
      <c r="G21" s="17"/>
      <c r="H21" s="56"/>
      <c r="I21" s="458"/>
      <c r="J21" s="458"/>
      <c r="K21" s="30"/>
      <c r="L21" s="64"/>
      <c r="M21" s="65"/>
    </row>
    <row r="22" spans="2:15" ht="20.149999999999999" customHeight="1" x14ac:dyDescent="0.45">
      <c r="B22" s="29"/>
      <c r="C22" s="17"/>
      <c r="D22" s="487"/>
      <c r="E22" s="487"/>
      <c r="F22" s="487"/>
      <c r="G22" s="17"/>
      <c r="H22" s="56"/>
      <c r="I22" s="458"/>
      <c r="J22" s="458"/>
      <c r="K22" s="30"/>
      <c r="L22" s="64"/>
      <c r="M22" s="65"/>
    </row>
    <row r="23" spans="2:15" ht="20.149999999999999" customHeight="1" x14ac:dyDescent="0.45">
      <c r="B23" s="29"/>
      <c r="C23" s="17"/>
      <c r="D23" s="487"/>
      <c r="E23" s="487"/>
      <c r="F23" s="487"/>
      <c r="G23" s="17"/>
      <c r="H23" s="56"/>
      <c r="I23" s="458"/>
      <c r="J23" s="458"/>
      <c r="K23" s="30"/>
      <c r="L23" s="64"/>
      <c r="M23" s="65"/>
    </row>
    <row r="24" spans="2:15" ht="20.149999999999999" customHeight="1" x14ac:dyDescent="0.45">
      <c r="B24" s="29"/>
      <c r="C24" s="17"/>
      <c r="D24" s="487"/>
      <c r="E24" s="487"/>
      <c r="F24" s="487"/>
      <c r="G24" s="17"/>
      <c r="H24" s="56"/>
      <c r="I24" s="458"/>
      <c r="J24" s="458"/>
      <c r="K24" s="30"/>
      <c r="L24" s="64"/>
      <c r="M24" s="65"/>
    </row>
    <row r="25" spans="2:15" ht="20.149999999999999" customHeight="1" x14ac:dyDescent="0.45">
      <c r="B25" s="29"/>
      <c r="C25" s="17"/>
      <c r="D25" s="487"/>
      <c r="E25" s="487"/>
      <c r="F25" s="487"/>
      <c r="G25" s="17"/>
      <c r="H25" s="56"/>
      <c r="I25" s="458"/>
      <c r="J25" s="458"/>
      <c r="K25" s="30"/>
      <c r="L25" s="64"/>
      <c r="M25" s="65"/>
    </row>
    <row r="26" spans="2:15" ht="20.149999999999999" customHeight="1" x14ac:dyDescent="0.45">
      <c r="B26" s="29"/>
      <c r="C26" s="17"/>
      <c r="D26" s="487"/>
      <c r="E26" s="487"/>
      <c r="F26" s="487"/>
      <c r="G26" s="17"/>
      <c r="H26" s="56"/>
      <c r="I26" s="458"/>
      <c r="J26" s="458"/>
      <c r="K26" s="30"/>
      <c r="L26" s="64"/>
      <c r="M26" s="65"/>
    </row>
    <row r="27" spans="2:15" ht="20.149999999999999" customHeight="1" x14ac:dyDescent="0.45">
      <c r="B27" s="29"/>
      <c r="C27" s="17"/>
      <c r="D27" s="487"/>
      <c r="E27" s="487"/>
      <c r="F27" s="487"/>
      <c r="G27" s="17"/>
      <c r="H27" s="56"/>
      <c r="I27" s="458"/>
      <c r="J27" s="458"/>
      <c r="K27" s="30"/>
      <c r="L27" s="64"/>
      <c r="M27" s="65"/>
    </row>
    <row r="28" spans="2:15" ht="20.149999999999999" customHeight="1" x14ac:dyDescent="0.45">
      <c r="B28" s="29"/>
      <c r="C28" s="17"/>
      <c r="D28" s="487"/>
      <c r="E28" s="487"/>
      <c r="F28" s="487"/>
      <c r="G28" s="17"/>
      <c r="H28" s="56"/>
      <c r="I28" s="458"/>
      <c r="J28" s="458"/>
      <c r="K28" s="30"/>
      <c r="L28" s="64"/>
      <c r="M28" s="65"/>
    </row>
    <row r="29" spans="2:15" ht="20.149999999999999" customHeight="1" x14ac:dyDescent="0.45">
      <c r="B29" s="29"/>
      <c r="C29" s="17"/>
      <c r="D29" s="487"/>
      <c r="E29" s="487"/>
      <c r="F29" s="487"/>
      <c r="G29" s="17"/>
      <c r="H29" s="56"/>
      <c r="I29" s="458"/>
      <c r="J29" s="458"/>
      <c r="K29" s="30"/>
      <c r="L29" s="64"/>
      <c r="M29" s="65"/>
    </row>
    <row r="30" spans="2:15" ht="20.149999999999999" customHeight="1" x14ac:dyDescent="0.45">
      <c r="B30" s="29"/>
      <c r="C30" s="17"/>
      <c r="D30" s="487"/>
      <c r="E30" s="487"/>
      <c r="F30" s="487"/>
      <c r="G30" s="17"/>
      <c r="H30" s="56"/>
      <c r="I30" s="458"/>
      <c r="J30" s="458"/>
      <c r="K30" s="30"/>
      <c r="L30" s="64"/>
      <c r="M30" s="65"/>
    </row>
    <row r="31" spans="2:15" ht="20.149999999999999" customHeight="1" x14ac:dyDescent="0.45">
      <c r="B31" s="29"/>
      <c r="C31" s="17"/>
      <c r="D31" s="487"/>
      <c r="E31" s="487"/>
      <c r="F31" s="487"/>
      <c r="G31" s="17"/>
      <c r="H31" s="56"/>
      <c r="I31" s="458"/>
      <c r="J31" s="458"/>
      <c r="K31" s="30"/>
      <c r="L31" s="64"/>
      <c r="M31" s="65"/>
    </row>
    <row r="32" spans="2:15" ht="20.149999999999999" customHeight="1" x14ac:dyDescent="0.45">
      <c r="B32" s="29"/>
      <c r="C32" s="17"/>
      <c r="D32" s="487"/>
      <c r="E32" s="487"/>
      <c r="F32" s="487"/>
      <c r="G32" s="17"/>
      <c r="H32" s="56"/>
      <c r="I32" s="458"/>
      <c r="J32" s="458"/>
      <c r="K32" s="30"/>
      <c r="L32" s="64"/>
      <c r="M32" s="65"/>
    </row>
    <row r="33" spans="2:13" ht="20.149999999999999" customHeight="1" x14ac:dyDescent="0.45">
      <c r="B33" s="29"/>
      <c r="C33" s="17"/>
      <c r="D33" s="487"/>
      <c r="E33" s="487"/>
      <c r="F33" s="487"/>
      <c r="G33" s="17"/>
      <c r="H33" s="56"/>
      <c r="I33" s="458"/>
      <c r="J33" s="458"/>
      <c r="K33" s="30"/>
      <c r="L33" s="64"/>
      <c r="M33" s="65"/>
    </row>
    <row r="34" spans="2:13" ht="20.149999999999999" customHeight="1" x14ac:dyDescent="0.45">
      <c r="B34" s="29"/>
      <c r="C34" s="17"/>
      <c r="D34" s="487"/>
      <c r="E34" s="487"/>
      <c r="F34" s="487"/>
      <c r="G34" s="17"/>
      <c r="H34" s="56"/>
      <c r="I34" s="458"/>
      <c r="J34" s="458"/>
      <c r="K34" s="30"/>
      <c r="L34" s="64"/>
      <c r="M34" s="65"/>
    </row>
    <row r="35" spans="2:13" ht="20.149999999999999" customHeight="1" x14ac:dyDescent="0.45">
      <c r="B35" s="29"/>
      <c r="C35" s="17"/>
      <c r="D35" s="487"/>
      <c r="E35" s="487"/>
      <c r="F35" s="487"/>
      <c r="G35" s="17"/>
      <c r="H35" s="56"/>
      <c r="I35" s="458"/>
      <c r="J35" s="458"/>
      <c r="K35" s="30"/>
      <c r="L35" s="64"/>
      <c r="M35" s="65"/>
    </row>
    <row r="36" spans="2:13" ht="20.149999999999999" customHeight="1" x14ac:dyDescent="0.45">
      <c r="B36" s="29"/>
      <c r="C36" s="17"/>
      <c r="D36" s="487"/>
      <c r="E36" s="487"/>
      <c r="F36" s="487"/>
      <c r="G36" s="17"/>
      <c r="H36" s="56"/>
      <c r="I36" s="458"/>
      <c r="J36" s="458"/>
      <c r="K36" s="30"/>
      <c r="L36" s="31"/>
    </row>
    <row r="37" spans="2:13" ht="20.149999999999999" customHeight="1" thickBot="1" x14ac:dyDescent="0.5">
      <c r="B37" s="32"/>
      <c r="C37" s="33"/>
      <c r="D37" s="488"/>
      <c r="E37" s="488"/>
      <c r="F37" s="488"/>
      <c r="G37" s="33"/>
      <c r="H37" s="57"/>
      <c r="I37" s="459"/>
      <c r="J37" s="459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89" t="s">
        <v>13</v>
      </c>
      <c r="K39" s="490"/>
      <c r="L39" s="38">
        <f>SUM(L17:L37)</f>
        <v>54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91" t="s">
        <v>19</v>
      </c>
      <c r="K41" s="492"/>
      <c r="L41" s="41">
        <f>L39-L40</f>
        <v>54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4.8599999999999994</v>
      </c>
    </row>
    <row r="43" spans="2:13" ht="20.149999999999999" customHeight="1" thickBot="1" x14ac:dyDescent="0.5">
      <c r="B43" s="10" t="s">
        <v>23</v>
      </c>
      <c r="C43" s="6"/>
      <c r="D43" s="6"/>
      <c r="E43" s="6"/>
      <c r="F43" s="6"/>
      <c r="G43" s="6"/>
      <c r="H43" s="6"/>
      <c r="I43" s="6"/>
      <c r="J43" s="485" t="s">
        <v>21</v>
      </c>
      <c r="K43" s="486"/>
      <c r="L43" s="43">
        <f>L41+L42</f>
        <v>58.86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7">
    <mergeCell ref="B1:L8"/>
    <mergeCell ref="D34:F34"/>
    <mergeCell ref="I34:J34"/>
    <mergeCell ref="J39:K39"/>
    <mergeCell ref="J41:K41"/>
    <mergeCell ref="D31:F31"/>
    <mergeCell ref="I31:J31"/>
    <mergeCell ref="D32:F32"/>
    <mergeCell ref="I32:J32"/>
    <mergeCell ref="D33:F33"/>
    <mergeCell ref="I33:J33"/>
    <mergeCell ref="D28:F28"/>
    <mergeCell ref="I28:J28"/>
    <mergeCell ref="D29:F29"/>
    <mergeCell ref="I29:J29"/>
    <mergeCell ref="D30:F30"/>
    <mergeCell ref="J43:K43"/>
    <mergeCell ref="D35:F35"/>
    <mergeCell ref="I35:J35"/>
    <mergeCell ref="D36:F36"/>
    <mergeCell ref="I36:J36"/>
    <mergeCell ref="D37:F37"/>
    <mergeCell ref="I37:J37"/>
    <mergeCell ref="I30:J30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A479B-F88B-4D9B-9FAA-71BE9B07831D}">
  <sheetPr codeName="Sheet151">
    <tabColor rgb="FFFFC000"/>
    <pageSetUpPr fitToPage="1"/>
  </sheetPr>
  <dimension ref="B1:P53"/>
  <sheetViews>
    <sheetView topLeftCell="B3" zoomScaleNormal="100" workbookViewId="0">
      <selection activeCell="C50" sqref="C50:J52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67" customWidth="1"/>
    <col min="10" max="10" width="15.54296875" style="67" customWidth="1"/>
    <col min="11" max="11" width="12.54296875" style="19" customWidth="1"/>
    <col min="12" max="12" width="14" style="19" customWidth="1"/>
    <col min="13" max="16384" width="12.54296875" style="19"/>
  </cols>
  <sheetData>
    <row r="1" spans="2:14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4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4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4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4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4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4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4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4" ht="19" thickBot="1" x14ac:dyDescent="0.5">
      <c r="B9" s="18"/>
      <c r="N9" s="19" t="s">
        <v>483</v>
      </c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484</v>
      </c>
      <c r="J10" s="68" t="s">
        <v>27</v>
      </c>
      <c r="K10" s="464">
        <v>202404600</v>
      </c>
      <c r="L10" s="465"/>
    </row>
    <row r="11" spans="2:14" ht="20.149999999999999" customHeight="1" x14ac:dyDescent="0.45">
      <c r="B11" s="466" t="s">
        <v>487</v>
      </c>
      <c r="C11" s="467"/>
      <c r="D11" s="468"/>
      <c r="E11" s="25"/>
      <c r="F11" s="469" t="str">
        <f>VLOOKUP(H10,'Delivery Location'!A$4:N$466,2,0)</f>
        <v>Asia Dessert Marketing                                       Blk 3020, Ubi Avenue 2 #02-125 Singapore 408896</v>
      </c>
      <c r="G11" s="470"/>
      <c r="H11" s="471"/>
      <c r="J11" s="69" t="s">
        <v>9</v>
      </c>
      <c r="K11" s="478">
        <v>45406</v>
      </c>
      <c r="L11" s="479"/>
      <c r="N11" s="353" t="s">
        <v>1909</v>
      </c>
    </row>
    <row r="12" spans="2:14" ht="20.149999999999999" customHeight="1" x14ac:dyDescent="0.45">
      <c r="B12" s="480" t="s">
        <v>488</v>
      </c>
      <c r="C12" s="453"/>
      <c r="D12" s="481"/>
      <c r="E12" s="25"/>
      <c r="F12" s="472"/>
      <c r="G12" s="473"/>
      <c r="H12" s="474"/>
      <c r="J12" s="69" t="s">
        <v>127</v>
      </c>
      <c r="K12" s="482" t="s">
        <v>331</v>
      </c>
      <c r="L12" s="483"/>
    </row>
    <row r="13" spans="2:14" ht="20.149999999999999" customHeight="1" x14ac:dyDescent="0.45">
      <c r="B13" s="480"/>
      <c r="C13" s="453"/>
      <c r="D13" s="481"/>
      <c r="E13" s="25"/>
      <c r="F13" s="472"/>
      <c r="G13" s="473"/>
      <c r="H13" s="474"/>
      <c r="J13" s="69" t="s">
        <v>10</v>
      </c>
      <c r="K13" s="482" t="s">
        <v>421</v>
      </c>
      <c r="L13" s="483"/>
    </row>
    <row r="14" spans="2:14" ht="20.149999999999999" customHeight="1" x14ac:dyDescent="0.45">
      <c r="B14" s="480"/>
      <c r="C14" s="453"/>
      <c r="D14" s="481"/>
      <c r="E14" s="25"/>
      <c r="F14" s="472"/>
      <c r="G14" s="473"/>
      <c r="H14" s="474"/>
      <c r="J14" s="69" t="s">
        <v>28</v>
      </c>
      <c r="K14" s="482" t="s">
        <v>14</v>
      </c>
      <c r="L14" s="483"/>
    </row>
    <row r="15" spans="2:14" ht="18" customHeight="1" thickBot="1" x14ac:dyDescent="0.5">
      <c r="B15" s="50"/>
      <c r="C15" s="51"/>
      <c r="D15" s="52"/>
      <c r="E15" s="21"/>
      <c r="F15" s="475"/>
      <c r="G15" s="476"/>
      <c r="H15" s="477"/>
      <c r="J15" s="70" t="s">
        <v>11</v>
      </c>
      <c r="K15" s="495"/>
      <c r="L15" s="496"/>
    </row>
    <row r="16" spans="2:14" ht="19" thickBot="1" x14ac:dyDescent="0.5">
      <c r="J16" s="71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7" t="s">
        <v>386</v>
      </c>
      <c r="I17" s="560" t="s">
        <v>385</v>
      </c>
      <c r="J17" s="561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712</v>
      </c>
      <c r="D18" s="524" t="str">
        <f>VLOOKUP(C18,'Sales Master'!B$3:D$537,2,)</f>
        <v>Bobo ChaCha Cubes 摩摩喳喳</v>
      </c>
      <c r="E18" s="524"/>
      <c r="F18" s="524"/>
      <c r="G18" s="76">
        <v>50</v>
      </c>
      <c r="H18" s="208" t="str">
        <f>VLOOKUP(C18,'Sales Master'!$B$3:$E$537,4,0)</f>
        <v>DO!</v>
      </c>
      <c r="I18" s="511" t="str">
        <f>VLOOKUP(C18,'Sales Master'!$B$3:F$537,5,0)</f>
        <v>800 GM/ Bag包</v>
      </c>
      <c r="J18" s="511"/>
      <c r="K18" s="30">
        <f>VLOOKUP(C18,'Sales Master'!B$3:AN$537,39,0)</f>
        <v>5.5</v>
      </c>
      <c r="L18" s="64">
        <f>K18*G18</f>
        <v>275</v>
      </c>
      <c r="M18" s="65"/>
      <c r="N18" s="145">
        <f>VLOOKUP(C18,'Sales Master'!$B$3:$DA$2279,104,0)</f>
        <v>0.89</v>
      </c>
      <c r="O18" s="145">
        <f>K18-N18</f>
        <v>4.6100000000000003</v>
      </c>
      <c r="P18" s="145">
        <f>O18*G18</f>
        <v>230.50000000000003</v>
      </c>
    </row>
    <row r="19" spans="2:16" ht="20.149999999999999" customHeight="1" x14ac:dyDescent="0.45">
      <c r="B19" s="29"/>
      <c r="C19" s="212"/>
      <c r="D19" s="524"/>
      <c r="E19" s="524"/>
      <c r="F19" s="524"/>
      <c r="G19" s="76"/>
      <c r="H19" s="208"/>
      <c r="I19" s="511"/>
      <c r="J19" s="511"/>
      <c r="K19" s="525"/>
      <c r="L19" s="526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87"/>
      <c r="E20" s="487"/>
      <c r="F20" s="487"/>
      <c r="G20" s="76" t="s">
        <v>439</v>
      </c>
      <c r="H20" s="56"/>
      <c r="I20" s="527"/>
      <c r="J20" s="527"/>
      <c r="K20" s="30"/>
      <c r="L20" s="64"/>
      <c r="M20" s="65"/>
    </row>
    <row r="21" spans="2:16" ht="20.149999999999999" customHeight="1" x14ac:dyDescent="0.45">
      <c r="B21" s="29"/>
      <c r="C21" s="212"/>
      <c r="D21" s="524"/>
      <c r="E21" s="524"/>
      <c r="F21" s="524"/>
      <c r="G21" s="76"/>
      <c r="H21" s="494"/>
      <c r="I21" s="494"/>
      <c r="J21" s="494"/>
      <c r="K21" s="30"/>
      <c r="L21" s="64"/>
      <c r="M21" s="65"/>
    </row>
    <row r="22" spans="2:16" ht="20.149999999999999" customHeight="1" x14ac:dyDescent="0.45">
      <c r="B22" s="29"/>
      <c r="L22" s="64"/>
      <c r="M22" s="65"/>
    </row>
    <row r="23" spans="2:16" ht="20.149999999999999" customHeight="1" x14ac:dyDescent="0.45">
      <c r="B23" s="29"/>
      <c r="L23" s="64"/>
      <c r="M23" s="65"/>
    </row>
    <row r="24" spans="2:16" ht="20.149999999999999" customHeight="1" x14ac:dyDescent="0.45">
      <c r="B24" s="29"/>
      <c r="L24" s="64"/>
      <c r="M24" s="65"/>
    </row>
    <row r="25" spans="2:16" ht="20.149999999999999" customHeight="1" x14ac:dyDescent="0.45">
      <c r="B25" s="29"/>
      <c r="L25" s="64"/>
      <c r="M25" s="65"/>
    </row>
    <row r="26" spans="2:16" ht="20.149999999999999" customHeight="1" x14ac:dyDescent="0.45">
      <c r="B26" s="29"/>
      <c r="K26" s="30"/>
      <c r="L26" s="64"/>
      <c r="M26" s="65"/>
    </row>
    <row r="27" spans="2:16" ht="20.149999999999999" customHeight="1" x14ac:dyDescent="0.45">
      <c r="B27" s="29"/>
      <c r="K27" s="30"/>
      <c r="L27" s="64"/>
      <c r="M27" s="65"/>
    </row>
    <row r="28" spans="2:16" ht="20.149999999999999" customHeight="1" x14ac:dyDescent="0.45">
      <c r="B28" s="29"/>
      <c r="C28" s="17"/>
      <c r="D28" s="487"/>
      <c r="E28" s="487"/>
      <c r="F28" s="487"/>
      <c r="G28" s="76"/>
      <c r="H28" s="56"/>
      <c r="I28" s="527"/>
      <c r="J28" s="527"/>
      <c r="K28" s="30"/>
      <c r="L28" s="64"/>
      <c r="M28" s="65"/>
    </row>
    <row r="29" spans="2:16" ht="20.149999999999999" customHeight="1" x14ac:dyDescent="0.45">
      <c r="B29" s="66"/>
      <c r="C29" s="574"/>
      <c r="D29" s="574"/>
      <c r="G29" s="76"/>
      <c r="H29" s="56"/>
      <c r="I29" s="527"/>
      <c r="J29" s="527"/>
      <c r="K29" s="99"/>
      <c r="L29" s="64"/>
      <c r="M29" s="65"/>
    </row>
    <row r="30" spans="2:16" ht="20.149999999999999" customHeight="1" x14ac:dyDescent="0.45">
      <c r="B30" s="29"/>
      <c r="C30" s="212"/>
      <c r="D30" s="524"/>
      <c r="E30" s="524"/>
      <c r="F30" s="524"/>
      <c r="G30" s="76"/>
      <c r="H30" s="208"/>
      <c r="I30" s="511"/>
      <c r="J30" s="511"/>
      <c r="K30" s="99"/>
      <c r="L30" s="64"/>
      <c r="M30" s="65"/>
    </row>
    <row r="31" spans="2:16" ht="20.149999999999999" customHeight="1" x14ac:dyDescent="0.45">
      <c r="B31" s="29"/>
      <c r="C31" s="17"/>
      <c r="D31" s="487"/>
      <c r="E31" s="487"/>
      <c r="F31" s="487"/>
      <c r="G31" s="77"/>
      <c r="H31" s="56"/>
      <c r="I31" s="527"/>
      <c r="J31" s="527"/>
      <c r="K31" s="99"/>
      <c r="L31" s="64"/>
      <c r="M31" s="65"/>
    </row>
    <row r="32" spans="2:16" ht="20.149999999999999" customHeight="1" thickBot="1" x14ac:dyDescent="0.5">
      <c r="B32" s="32"/>
      <c r="C32" s="33"/>
      <c r="D32" s="488"/>
      <c r="E32" s="488"/>
      <c r="F32" s="488"/>
      <c r="G32" s="33"/>
      <c r="H32" s="57"/>
      <c r="I32" s="528"/>
      <c r="J32" s="528"/>
      <c r="K32" s="34"/>
      <c r="L32" s="3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 t="s">
        <v>439</v>
      </c>
      <c r="I34" s="72"/>
      <c r="J34" s="489" t="s">
        <v>13</v>
      </c>
      <c r="K34" s="490"/>
      <c r="L34" s="38">
        <f>SUM(L18:L33)</f>
        <v>275</v>
      </c>
      <c r="M34" s="63">
        <f>SUM(P18:P33)</f>
        <v>230.50000000000003</v>
      </c>
      <c r="N34" s="133"/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72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72"/>
      <c r="J36" s="491" t="s">
        <v>19</v>
      </c>
      <c r="K36" s="492"/>
      <c r="L36" s="41">
        <f>L34-L35</f>
        <v>275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72"/>
      <c r="J37" s="102" t="s">
        <v>15</v>
      </c>
      <c r="K37" s="103">
        <f>'Sales Master'!$B$1</f>
        <v>0.09</v>
      </c>
      <c r="L37" s="42">
        <f>L36*K37</f>
        <v>24.75</v>
      </c>
    </row>
    <row r="38" spans="2:14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72"/>
      <c r="J38" s="485" t="s">
        <v>21</v>
      </c>
      <c r="K38" s="486"/>
      <c r="L38" s="43">
        <f>L36+L37</f>
        <v>299.75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72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G43" s="19" t="s">
        <v>439</v>
      </c>
      <c r="L43" s="37"/>
    </row>
    <row r="44" spans="2:14" ht="20.149999999999999" customHeight="1" x14ac:dyDescent="0.45">
      <c r="B44" s="44"/>
      <c r="C44" s="45"/>
      <c r="D44" s="45"/>
      <c r="J44" s="73"/>
      <c r="K44" s="45"/>
      <c r="L44" s="46"/>
    </row>
    <row r="45" spans="2:14" ht="20.149999999999999" customHeight="1" x14ac:dyDescent="0.45">
      <c r="B45" s="36" t="s">
        <v>25</v>
      </c>
      <c r="J45" s="67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74"/>
      <c r="J46" s="74"/>
      <c r="K46" s="48"/>
      <c r="L46" s="49"/>
    </row>
    <row r="49" spans="3:11" x14ac:dyDescent="0.45">
      <c r="K49" s="30"/>
    </row>
    <row r="50" spans="3:11" x14ac:dyDescent="0.45">
      <c r="C50" s="212" t="s">
        <v>712</v>
      </c>
      <c r="D50" s="524" t="str">
        <f>VLOOKUP(C50,'Sales Master'!B$3:D$537,2,)</f>
        <v>Bobo ChaCha Cubes 摩摩喳喳</v>
      </c>
      <c r="E50" s="524"/>
      <c r="F50" s="524"/>
      <c r="G50" s="76">
        <v>50</v>
      </c>
      <c r="H50" s="494" t="s">
        <v>1975</v>
      </c>
      <c r="I50" s="494"/>
      <c r="J50" s="494"/>
      <c r="K50" s="30"/>
    </row>
    <row r="51" spans="3:11" ht="19" thickBot="1" x14ac:dyDescent="0.5">
      <c r="C51" s="212" t="s">
        <v>712</v>
      </c>
      <c r="D51" s="524" t="str">
        <f>VLOOKUP(C51,'Sales Master'!B$3:D$537,2,)</f>
        <v>Bobo ChaCha Cubes 摩摩喳喳</v>
      </c>
      <c r="E51" s="524"/>
      <c r="F51" s="524"/>
      <c r="G51" s="76">
        <v>50</v>
      </c>
      <c r="H51" s="494"/>
      <c r="I51" s="494"/>
      <c r="J51" s="494"/>
      <c r="K51" s="30"/>
    </row>
    <row r="52" spans="3:11" ht="19.5" thickTop="1" thickBot="1" x14ac:dyDescent="0.5">
      <c r="D52" s="573" t="s">
        <v>1794</v>
      </c>
      <c r="E52" s="573"/>
      <c r="F52" s="573"/>
      <c r="G52" s="264">
        <f>SUM(G50:G51)</f>
        <v>100</v>
      </c>
    </row>
    <row r="53" spans="3:11" ht="19" thickTop="1" x14ac:dyDescent="0.45"/>
  </sheetData>
  <mergeCells count="41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19:F19"/>
    <mergeCell ref="I19:J19"/>
    <mergeCell ref="K19:L19"/>
    <mergeCell ref="I29:J29"/>
    <mergeCell ref="D30:F30"/>
    <mergeCell ref="I30:J30"/>
    <mergeCell ref="C29:D29"/>
    <mergeCell ref="D20:F20"/>
    <mergeCell ref="I20:J20"/>
    <mergeCell ref="D51:F51"/>
    <mergeCell ref="H51:J51"/>
    <mergeCell ref="D52:F52"/>
    <mergeCell ref="H21:J21"/>
    <mergeCell ref="D28:F28"/>
    <mergeCell ref="I28:J28"/>
    <mergeCell ref="D21:F21"/>
    <mergeCell ref="D50:F50"/>
    <mergeCell ref="H50:J50"/>
    <mergeCell ref="J36:K36"/>
    <mergeCell ref="J38:K38"/>
    <mergeCell ref="D32:F32"/>
    <mergeCell ref="I32:J32"/>
    <mergeCell ref="J34:K34"/>
    <mergeCell ref="D31:F31"/>
    <mergeCell ref="I31:J31"/>
  </mergeCells>
  <conditionalFormatting sqref="C29">
    <cfRule type="duplicateValues" dxfId="176" priority="1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CCB2C-175E-4524-B8F0-556FD07E9A82}">
  <sheetPr codeName="Sheet8">
    <tabColor theme="7"/>
    <pageSetUpPr fitToPage="1"/>
  </sheetPr>
  <dimension ref="B1:P50"/>
  <sheetViews>
    <sheetView topLeftCell="A31" zoomScaleNormal="100" workbookViewId="0">
      <selection activeCell="B1" sqref="B1:L5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490</v>
      </c>
      <c r="J10" s="24" t="s">
        <v>27</v>
      </c>
      <c r="K10" s="464">
        <v>202504284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KOUFU - Dessert                                                                                                   Outram Road Singapore General Hospital.  Block 6/7 Level 1 Food Court Singapore 169608</v>
      </c>
      <c r="G11" s="470"/>
      <c r="H11" s="471"/>
      <c r="J11" s="26" t="s">
        <v>9</v>
      </c>
      <c r="K11" s="478">
        <v>45758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6" ht="20.149999999999999" customHeight="1" x14ac:dyDescent="0.45">
      <c r="B18" s="29"/>
      <c r="C18" s="212" t="s">
        <v>713</v>
      </c>
      <c r="D18" s="487" t="str">
        <f>VLOOKUP(C18,'Sales Master'!B$3:D$537,2,)</f>
        <v>Chendol 浆咯</v>
      </c>
      <c r="E18" s="487"/>
      <c r="F18" s="487"/>
      <c r="G18" s="17">
        <v>1</v>
      </c>
      <c r="H18" s="85" t="str">
        <f>VLOOKUP(C18,'Sales Master'!$B$3:$F$2488,5,0)</f>
        <v>NW(2.2:0.8) 3kg/ Pkt包</v>
      </c>
      <c r="I18" s="484" t="str">
        <f>VLOOKUP(C18,'Sales Master'!$B$3:$E$2488,4,0)</f>
        <v>DO!</v>
      </c>
      <c r="J18" s="484"/>
      <c r="K18" s="30">
        <f>VLOOKUP(C18,'Sales Master'!$B$3:$T3010,19,0)</f>
        <v>6.5</v>
      </c>
      <c r="L18" s="31">
        <f t="shared" ref="L18" si="0">K18*G18</f>
        <v>6.5</v>
      </c>
    </row>
    <row r="19" spans="2:16" ht="20.149999999999999" customHeight="1" x14ac:dyDescent="0.45">
      <c r="B19" s="29"/>
      <c r="C19" s="212" t="s">
        <v>698</v>
      </c>
      <c r="D19" s="487" t="str">
        <f>VLOOKUP(C19,'Sales Master'!B$3:D$537,2,)</f>
        <v xml:space="preserve">Fresh Soursop 红毛榴莲 </v>
      </c>
      <c r="E19" s="487"/>
      <c r="F19" s="487"/>
      <c r="G19" s="17">
        <v>1</v>
      </c>
      <c r="H19" s="85" t="str">
        <f>VLOOKUP(C19,'Sales Master'!$B$3:$F$2488,5,0)</f>
        <v>GW:5 KG/ Tub桶</v>
      </c>
      <c r="I19" s="484" t="str">
        <f>VLOOKUP(C19,'Sales Master'!$B$3:$E$2488,4,0)</f>
        <v>DO!</v>
      </c>
      <c r="J19" s="484"/>
      <c r="K19" s="30">
        <f>VLOOKUP(C19,'Sales Master'!$B$3:$T3093,19,0)</f>
        <v>31</v>
      </c>
      <c r="L19" s="31">
        <f>K19*G19</f>
        <v>31</v>
      </c>
      <c r="N19" s="145"/>
      <c r="O19" s="145"/>
      <c r="P19" s="145"/>
    </row>
    <row r="20" spans="2:16" ht="20.149999999999999" customHeight="1" x14ac:dyDescent="0.45">
      <c r="B20" s="29"/>
      <c r="C20" s="212" t="s">
        <v>775</v>
      </c>
      <c r="D20" s="556" t="str">
        <f>VLOOKUP(C20,'Sales Master'!B$3:D$537,2,)</f>
        <v>Sweet Potato Powder 番薯粉</v>
      </c>
      <c r="E20" s="556"/>
      <c r="F20" s="556"/>
      <c r="G20" s="17">
        <v>2</v>
      </c>
      <c r="H20" s="85" t="str">
        <f>VLOOKUP(C20,'Sales Master'!$B$3:$F$2488,5,0)</f>
        <v>3 kgs</v>
      </c>
      <c r="I20" s="484" t="str">
        <f>VLOOKUP(C20,'Sales Master'!$B$3:$E$2488,4,0)</f>
        <v>RE-PACK</v>
      </c>
      <c r="J20" s="484"/>
      <c r="K20" s="30">
        <f>VLOOKUP(C20,'Sales Master'!$B$3:$T3087,19,0)</f>
        <v>10.5</v>
      </c>
      <c r="L20" s="31">
        <f>K20*G20</f>
        <v>21</v>
      </c>
    </row>
    <row r="21" spans="2:16" ht="20.149999999999999" customHeight="1" x14ac:dyDescent="0.45">
      <c r="B21" s="29"/>
      <c r="C21" s="212" t="s">
        <v>807</v>
      </c>
      <c r="D21" s="487" t="str">
        <f>VLOOKUP(C21,'Sales Master'!B$3:D$537,2,)</f>
        <v>Chin Chow  仙草</v>
      </c>
      <c r="E21" s="487"/>
      <c r="F21" s="487"/>
      <c r="G21" s="17">
        <v>3</v>
      </c>
      <c r="H21" s="85" t="str">
        <f>VLOOKUP(C21,'Sales Master'!$B$3:$F$2488,5,0)</f>
        <v>4 KG/ Pkt包</v>
      </c>
      <c r="I21" s="484" t="str">
        <f>VLOOKUP(C21,'Sales Master'!$B$3:$E$2488,4,0)</f>
        <v>TSM</v>
      </c>
      <c r="J21" s="484"/>
      <c r="K21" s="30">
        <f>VLOOKUP(C21,'Sales Master'!$B$3:$T3088,19,0)</f>
        <v>6</v>
      </c>
      <c r="L21" s="31">
        <f>K21*G21</f>
        <v>18</v>
      </c>
    </row>
    <row r="22" spans="2:16" ht="20.149999999999999" customHeight="1" x14ac:dyDescent="0.45">
      <c r="B22" s="29"/>
      <c r="C22" s="212" t="s">
        <v>825</v>
      </c>
      <c r="D22" s="487" t="str">
        <f>VLOOKUP(C22,'Sales Master'!B$3:D$537,2,)</f>
        <v>Green Bean 绿豆</v>
      </c>
      <c r="E22" s="487"/>
      <c r="F22" s="487"/>
      <c r="G22" s="17">
        <v>2</v>
      </c>
      <c r="H22" s="85" t="str">
        <f>VLOOKUP(C22,'Sales Master'!$B$3:$F$2488,5,0)</f>
        <v>5 KG</v>
      </c>
      <c r="I22" s="484" t="str">
        <f>VLOOKUP(C22,'Sales Master'!$B$3:$E$2488,4,0)</f>
        <v>-</v>
      </c>
      <c r="J22" s="484"/>
      <c r="K22" s="30">
        <f>VLOOKUP(C22,'Sales Master'!$B$3:$T3091,19,0)</f>
        <v>13</v>
      </c>
      <c r="L22" s="31">
        <f>K22*G22</f>
        <v>26</v>
      </c>
      <c r="N22" s="145"/>
      <c r="O22" s="145"/>
      <c r="P22" s="145"/>
    </row>
    <row r="23" spans="2:16" ht="20.149999999999999" customHeight="1" x14ac:dyDescent="0.45">
      <c r="B23" s="29"/>
      <c r="C23" s="212" t="s">
        <v>956</v>
      </c>
      <c r="D23" s="487" t="str">
        <f>VLOOKUP(C23,'Sales Master'!B$3:D$537,2,)</f>
        <v>GingKo Nut 白果罐</v>
      </c>
      <c r="E23" s="487"/>
      <c r="F23" s="487"/>
      <c r="G23" s="17">
        <v>1</v>
      </c>
      <c r="H23" s="85" t="str">
        <f>VLOOKUP(C23,'Sales Master'!$B$3:$F$2488,5,0)</f>
        <v>397 GM x 24/ Ctn箱</v>
      </c>
      <c r="I23" s="484" t="str">
        <f>VLOOKUP(C23,'Sales Master'!$B$3:$E$2488,4,0)</f>
        <v>Golden Champ</v>
      </c>
      <c r="J23" s="484"/>
      <c r="K23" s="30">
        <f>VLOOKUP(C23,'Sales Master'!$B$3:$T3088,19,0)</f>
        <v>32</v>
      </c>
      <c r="L23" s="31">
        <f>K23*G23</f>
        <v>32</v>
      </c>
    </row>
    <row r="24" spans="2:16" ht="20.149999999999999" customHeight="1" x14ac:dyDescent="0.45">
      <c r="B24" s="29"/>
      <c r="C24" s="212" t="s">
        <v>966</v>
      </c>
      <c r="D24" s="487" t="str">
        <f>VLOOKUP(C24,'Sales Master'!B$3:D$537,2,)</f>
        <v>Coconut Milk 椰浆</v>
      </c>
      <c r="E24" s="487"/>
      <c r="F24" s="487"/>
      <c r="G24" s="17">
        <v>2</v>
      </c>
      <c r="H24" s="85" t="str">
        <f>VLOOKUP(C24,'Sales Master'!$B$3:$F$2488,5,0)</f>
        <v>(1L x 12bag)/箱</v>
      </c>
      <c r="I24" s="484" t="str">
        <f>VLOOKUP(C24,'Sales Master'!$B$3:$E$2488,4,0)</f>
        <v>Kara UHT</v>
      </c>
      <c r="J24" s="484"/>
      <c r="K24" s="30">
        <f>VLOOKUP(C24,'Sales Master'!$B$3:$T3090,19,0)</f>
        <v>54</v>
      </c>
      <c r="L24" s="31">
        <f t="shared" ref="L24" si="1">K24*G24</f>
        <v>108</v>
      </c>
    </row>
    <row r="25" spans="2:16" ht="20.149999999999999" customHeight="1" x14ac:dyDescent="0.45">
      <c r="B25" s="29"/>
      <c r="C25" s="212" t="s">
        <v>985</v>
      </c>
      <c r="D25" s="487" t="str">
        <f>VLOOKUP(C25,'Sales Master'!B$3:D$537,2,)</f>
        <v>Rock Sugar 冰糖</v>
      </c>
      <c r="E25" s="487"/>
      <c r="F25" s="487"/>
      <c r="G25" s="17">
        <v>2</v>
      </c>
      <c r="H25" s="85" t="str">
        <f>VLOOKUP(C25,'Sales Master'!$B$3:$F$2488,5,0)</f>
        <v>3 KG</v>
      </c>
      <c r="I25" s="484" t="str">
        <f>VLOOKUP(C25,'Sales Master'!$B$3:$E$2488,4,0)</f>
        <v>Star</v>
      </c>
      <c r="J25" s="484"/>
      <c r="K25" s="30">
        <f>VLOOKUP(C25,'Sales Master'!$B$3:$T3088,19,0)</f>
        <v>6.5</v>
      </c>
      <c r="L25" s="31">
        <f>K25*G25</f>
        <v>13</v>
      </c>
      <c r="N25" s="145"/>
      <c r="O25" s="145"/>
      <c r="P25" s="145"/>
    </row>
    <row r="26" spans="2:16" ht="20.149999999999999" customHeight="1" x14ac:dyDescent="0.45">
      <c r="B26" s="29"/>
      <c r="C26" s="212"/>
      <c r="D26" s="487"/>
      <c r="E26" s="487"/>
      <c r="F26" s="487"/>
      <c r="G26" s="17"/>
      <c r="H26" s="85"/>
      <c r="I26" s="484"/>
      <c r="J26" s="484"/>
      <c r="K26" s="30"/>
      <c r="L26" s="31"/>
    </row>
    <row r="27" spans="2:16" ht="20.149999999999999" customHeight="1" x14ac:dyDescent="0.45">
      <c r="B27" s="29"/>
      <c r="C27" s="212"/>
      <c r="D27" s="487"/>
      <c r="E27" s="487"/>
      <c r="F27" s="487"/>
      <c r="G27" s="17"/>
      <c r="H27" s="85"/>
      <c r="I27" s="484"/>
      <c r="J27" s="484"/>
      <c r="K27" s="30"/>
      <c r="L27" s="31"/>
      <c r="N27" s="145"/>
      <c r="O27" s="145"/>
      <c r="P27" s="145"/>
    </row>
    <row r="28" spans="2:16" ht="20.149999999999999" customHeight="1" x14ac:dyDescent="0.45">
      <c r="B28" s="29"/>
      <c r="C28" s="212"/>
      <c r="D28" s="487"/>
      <c r="E28" s="487"/>
      <c r="F28" s="487"/>
      <c r="G28" s="17"/>
      <c r="H28" s="85"/>
      <c r="I28" s="484"/>
      <c r="J28" s="484"/>
      <c r="K28" s="30"/>
      <c r="L28" s="31"/>
    </row>
    <row r="29" spans="2:16" ht="20.149999999999999" customHeight="1" x14ac:dyDescent="0.45">
      <c r="B29" s="29"/>
      <c r="C29" s="212"/>
      <c r="D29" s="487"/>
      <c r="E29" s="487"/>
      <c r="F29" s="487"/>
      <c r="G29" s="17"/>
      <c r="H29" s="85"/>
      <c r="I29" s="484"/>
      <c r="J29" s="484"/>
      <c r="K29" s="30"/>
      <c r="L29" s="31"/>
    </row>
    <row r="30" spans="2:16" ht="20.149999999999999" customHeight="1" x14ac:dyDescent="0.45">
      <c r="B30" s="29"/>
      <c r="C30" s="212"/>
      <c r="D30" s="487"/>
      <c r="E30" s="487"/>
      <c r="F30" s="487"/>
      <c r="G30" s="17"/>
      <c r="H30" s="85"/>
      <c r="I30" s="484"/>
      <c r="J30" s="484"/>
      <c r="K30" s="30"/>
      <c r="L30" s="31"/>
    </row>
    <row r="31" spans="2:16" ht="20.149999999999999" customHeight="1" x14ac:dyDescent="0.45">
      <c r="B31" s="29"/>
      <c r="C31" s="212"/>
      <c r="D31" s="487"/>
      <c r="E31" s="487"/>
      <c r="F31" s="487"/>
      <c r="G31" s="17"/>
      <c r="H31" s="85"/>
      <c r="I31" s="484"/>
      <c r="J31" s="484"/>
      <c r="K31" s="30"/>
      <c r="L31" s="31"/>
    </row>
    <row r="32" spans="2:16" ht="20.149999999999999" customHeight="1" x14ac:dyDescent="0.45">
      <c r="B32" s="29"/>
      <c r="C32" s="212"/>
      <c r="D32" s="487"/>
      <c r="E32" s="487"/>
      <c r="F32" s="487"/>
      <c r="G32" s="17"/>
      <c r="H32" s="85"/>
      <c r="I32" s="484"/>
      <c r="J32" s="484"/>
      <c r="K32" s="30"/>
      <c r="L32" s="31"/>
      <c r="N32" s="145"/>
      <c r="O32" s="145"/>
      <c r="P32" s="145"/>
    </row>
    <row r="33" spans="2:16" ht="20.149999999999999" customHeight="1" x14ac:dyDescent="0.45">
      <c r="B33" s="29"/>
      <c r="C33" s="212"/>
      <c r="D33" s="487"/>
      <c r="E33" s="487"/>
      <c r="F33" s="487"/>
      <c r="G33" s="17"/>
      <c r="H33" s="85"/>
      <c r="I33" s="484"/>
      <c r="J33" s="484"/>
      <c r="K33" s="30"/>
      <c r="L33" s="31"/>
    </row>
    <row r="34" spans="2:16" ht="20.149999999999999" customHeight="1" x14ac:dyDescent="0.45">
      <c r="B34" s="29"/>
      <c r="C34" s="212"/>
      <c r="G34" s="17"/>
      <c r="H34" s="85"/>
      <c r="I34" s="208"/>
      <c r="J34" s="208"/>
      <c r="K34" s="30"/>
      <c r="L34" s="31"/>
      <c r="N34" s="145"/>
      <c r="O34" s="145"/>
      <c r="P34" s="145"/>
    </row>
    <row r="35" spans="2:16" ht="20.149999999999999" customHeight="1" x14ac:dyDescent="0.45">
      <c r="B35" s="29"/>
      <c r="C35" s="212"/>
      <c r="G35" s="17"/>
      <c r="H35" s="85"/>
      <c r="I35" s="208"/>
      <c r="J35" s="208"/>
      <c r="K35" s="30"/>
      <c r="L35" s="31"/>
      <c r="N35" s="145"/>
      <c r="O35" s="145"/>
      <c r="P35" s="145"/>
    </row>
    <row r="36" spans="2:16" ht="20.149999999999999" customHeight="1" thickBot="1" x14ac:dyDescent="0.5">
      <c r="B36" s="32"/>
      <c r="C36" s="33"/>
      <c r="D36" s="488"/>
      <c r="E36" s="488"/>
      <c r="F36" s="488"/>
      <c r="G36" s="33"/>
      <c r="H36" s="33"/>
      <c r="I36" s="33"/>
      <c r="J36" s="33"/>
      <c r="K36" s="34"/>
      <c r="L36" s="35"/>
    </row>
    <row r="37" spans="2:16" ht="20.149999999999999" customHeight="1" thickBot="1" x14ac:dyDescent="0.5">
      <c r="B37" s="36"/>
      <c r="L37" s="37"/>
    </row>
    <row r="38" spans="2:16" ht="20.149999999999999" customHeight="1" x14ac:dyDescent="0.45">
      <c r="B38" s="10" t="s">
        <v>16</v>
      </c>
      <c r="C38" s="6"/>
      <c r="D38" s="6"/>
      <c r="E38" s="6"/>
      <c r="F38" s="6"/>
      <c r="G38" s="6"/>
      <c r="H38" s="6"/>
      <c r="I38" s="6"/>
      <c r="J38" s="489" t="s">
        <v>13</v>
      </c>
      <c r="K38" s="490"/>
      <c r="L38" s="38">
        <f>SUM(L18:L37)</f>
        <v>255.5</v>
      </c>
      <c r="M38" s="63">
        <f>SUM(P18:P37)-L38*0.02</f>
        <v>-5.1100000000000003</v>
      </c>
    </row>
    <row r="39" spans="2:16" ht="20.149999999999999" customHeight="1" x14ac:dyDescent="0.45">
      <c r="B39" s="10" t="s">
        <v>17</v>
      </c>
      <c r="C39" s="6"/>
      <c r="D39" s="6"/>
      <c r="E39" s="6"/>
      <c r="F39" s="6"/>
      <c r="G39" s="6"/>
      <c r="H39" s="6"/>
      <c r="I39" s="6"/>
      <c r="J39" s="39" t="s">
        <v>20</v>
      </c>
      <c r="K39" s="40"/>
      <c r="L39" s="41">
        <f>L38*K39</f>
        <v>0</v>
      </c>
    </row>
    <row r="40" spans="2:16" ht="20.149999999999999" customHeight="1" x14ac:dyDescent="0.45">
      <c r="B40" s="10" t="s">
        <v>18</v>
      </c>
      <c r="C40" s="6"/>
      <c r="D40" s="6"/>
      <c r="E40" s="6"/>
      <c r="F40" s="6"/>
      <c r="G40" s="6"/>
      <c r="H40" s="6"/>
      <c r="I40" s="6"/>
      <c r="J40" s="491" t="s">
        <v>19</v>
      </c>
      <c r="K40" s="492"/>
      <c r="L40" s="41">
        <f>L38-L39</f>
        <v>255.5</v>
      </c>
    </row>
    <row r="41" spans="2:16" ht="20.149999999999999" customHeight="1" x14ac:dyDescent="0.45">
      <c r="B41" s="10" t="s">
        <v>22</v>
      </c>
      <c r="C41" s="6"/>
      <c r="D41" s="6"/>
      <c r="E41" s="6"/>
      <c r="F41" s="6"/>
      <c r="G41" s="6"/>
      <c r="H41" s="6"/>
      <c r="I41" s="6"/>
      <c r="J41" s="102" t="s">
        <v>15</v>
      </c>
      <c r="K41" s="103">
        <f>'Sales Master'!$B$1</f>
        <v>0.09</v>
      </c>
      <c r="L41" s="42">
        <f>L40*K41</f>
        <v>22.994999999999997</v>
      </c>
    </row>
    <row r="42" spans="2:16" ht="20.149999999999999" customHeight="1" thickBot="1" x14ac:dyDescent="0.5">
      <c r="B42" s="10" t="s">
        <v>23</v>
      </c>
      <c r="C42" s="6"/>
      <c r="D42" s="6"/>
      <c r="E42" s="6"/>
      <c r="F42" s="6"/>
      <c r="G42" s="6"/>
      <c r="H42" s="6"/>
      <c r="I42" s="6"/>
      <c r="J42" s="485" t="s">
        <v>21</v>
      </c>
      <c r="K42" s="486"/>
      <c r="L42" s="43">
        <f>L40+L41</f>
        <v>278.495</v>
      </c>
    </row>
    <row r="43" spans="2:16" ht="20.149999999999999" customHeight="1" x14ac:dyDescent="0.45">
      <c r="B43" s="10" t="s">
        <v>24</v>
      </c>
      <c r="C43" s="6"/>
      <c r="D43" s="6"/>
      <c r="E43" s="6"/>
      <c r="F43" s="6"/>
      <c r="G43" s="6"/>
      <c r="H43" s="6"/>
      <c r="I43" s="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36"/>
      <c r="L46" s="37"/>
    </row>
    <row r="47" spans="2:16" ht="20.149999999999999" customHeight="1" x14ac:dyDescent="0.45">
      <c r="B47" s="36"/>
      <c r="L47" s="37"/>
    </row>
    <row r="48" spans="2:16" ht="20.149999999999999" customHeight="1" x14ac:dyDescent="0.45">
      <c r="B48" s="44"/>
      <c r="C48" s="45"/>
      <c r="D48" s="45"/>
      <c r="J48" s="45"/>
      <c r="K48" s="45"/>
      <c r="L48" s="46"/>
    </row>
    <row r="49" spans="2:12" ht="20.149999999999999" customHeight="1" x14ac:dyDescent="0.45">
      <c r="B49" s="36" t="s">
        <v>25</v>
      </c>
      <c r="J49" s="19" t="s">
        <v>26</v>
      </c>
      <c r="L49" s="37"/>
    </row>
    <row r="50" spans="2:12" ht="19" thickBot="1" x14ac:dyDescent="0.5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9"/>
    </row>
  </sheetData>
  <mergeCells count="51">
    <mergeCell ref="I29:J29"/>
    <mergeCell ref="I30:J30"/>
    <mergeCell ref="D29:F29"/>
    <mergeCell ref="D30:F30"/>
    <mergeCell ref="I33:J33"/>
    <mergeCell ref="D33:F33"/>
    <mergeCell ref="D32:F32"/>
    <mergeCell ref="I31:J31"/>
    <mergeCell ref="D31:F31"/>
    <mergeCell ref="I32:J32"/>
    <mergeCell ref="J42:K42"/>
    <mergeCell ref="D36:F36"/>
    <mergeCell ref="J38:K38"/>
    <mergeCell ref="J40:K4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0:F20"/>
    <mergeCell ref="I25:J25"/>
    <mergeCell ref="D25:F25"/>
    <mergeCell ref="D17:F17"/>
    <mergeCell ref="I18:J18"/>
    <mergeCell ref="D18:F18"/>
    <mergeCell ref="D19:F19"/>
    <mergeCell ref="I19:J19"/>
    <mergeCell ref="I21:J21"/>
    <mergeCell ref="D21:F21"/>
    <mergeCell ref="D23:F23"/>
    <mergeCell ref="I23:J23"/>
    <mergeCell ref="D28:F28"/>
    <mergeCell ref="I28:J28"/>
    <mergeCell ref="I20:J20"/>
    <mergeCell ref="D26:F26"/>
    <mergeCell ref="D24:F24"/>
    <mergeCell ref="I26:J26"/>
    <mergeCell ref="I24:J24"/>
    <mergeCell ref="D22:F22"/>
    <mergeCell ref="I22:J22"/>
    <mergeCell ref="I27:J27"/>
    <mergeCell ref="D27:F27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60E1D-5D95-4820-890B-AA738D1D7F8E}">
  <sheetPr codeName="Sheet19">
    <tabColor rgb="FF7030A0"/>
    <pageSetUpPr fitToPage="1"/>
  </sheetPr>
  <dimension ref="B1:M43"/>
  <sheetViews>
    <sheetView topLeftCell="B1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2:12" x14ac:dyDescent="0.45"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2:12" x14ac:dyDescent="0.45"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</row>
    <row r="4" spans="2:12" x14ac:dyDescent="0.4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2:12" x14ac:dyDescent="0.45"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</row>
    <row r="6" spans="2:12" x14ac:dyDescent="0.45"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</row>
    <row r="7" spans="2:12" x14ac:dyDescent="0.45"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</row>
    <row r="8" spans="2:12" ht="19" thickBot="1" x14ac:dyDescent="0.5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493</v>
      </c>
      <c r="J10" s="24" t="s">
        <v>27</v>
      </c>
      <c r="K10" s="464">
        <v>202501185</v>
      </c>
      <c r="L10" s="465"/>
    </row>
    <row r="11" spans="2:12" ht="20.149999999999999" customHeight="1" x14ac:dyDescent="0.45">
      <c r="B11" s="466" t="s">
        <v>1154</v>
      </c>
      <c r="C11" s="467"/>
      <c r="D11" s="468"/>
      <c r="E11" s="25"/>
      <c r="F11" s="469" t="str">
        <f>VLOOKUP(H10,'Delivery Location'!A$4:N$466,2,0)</f>
        <v>KOUFU - Tim Sum                                                                                                  Outram Road Singapore General Hospital.  Block 6/7 Level 1 Food Court Singapore 169608</v>
      </c>
      <c r="G11" s="470"/>
      <c r="H11" s="471"/>
      <c r="J11" s="26" t="s">
        <v>9</v>
      </c>
      <c r="K11" s="478">
        <v>45665</v>
      </c>
      <c r="L11" s="479"/>
    </row>
    <row r="12" spans="2:12" ht="20.149999999999999" customHeight="1" x14ac:dyDescent="0.45">
      <c r="B12" s="480" t="s">
        <v>1225</v>
      </c>
      <c r="C12" s="453"/>
      <c r="D12" s="481"/>
      <c r="E12" s="25"/>
      <c r="F12" s="472"/>
      <c r="G12" s="473"/>
      <c r="H12" s="474"/>
      <c r="J12" s="26" t="s">
        <v>127</v>
      </c>
      <c r="K12" s="482" t="s">
        <v>34</v>
      </c>
      <c r="L12" s="483"/>
    </row>
    <row r="13" spans="2:12" ht="20.149999999999999" customHeight="1" x14ac:dyDescent="0.45">
      <c r="B13" s="480" t="s">
        <v>1146</v>
      </c>
      <c r="C13" s="453"/>
      <c r="D13" s="481"/>
      <c r="E13" s="25"/>
      <c r="F13" s="472"/>
      <c r="G13" s="473"/>
      <c r="H13" s="474"/>
      <c r="J13" s="26" t="s">
        <v>10</v>
      </c>
      <c r="K13" s="482" t="s">
        <v>12</v>
      </c>
      <c r="L13" s="483"/>
    </row>
    <row r="14" spans="2:12" ht="20.149999999999999" customHeight="1" x14ac:dyDescent="0.45">
      <c r="B14" s="480" t="s">
        <v>1147</v>
      </c>
      <c r="C14" s="453"/>
      <c r="D14" s="481"/>
      <c r="E14" s="25"/>
      <c r="F14" s="472"/>
      <c r="G14" s="473"/>
      <c r="H14" s="474"/>
      <c r="J14" s="26" t="s">
        <v>28</v>
      </c>
      <c r="K14" s="482" t="s">
        <v>14</v>
      </c>
      <c r="L14" s="483"/>
    </row>
    <row r="15" spans="2:12" ht="18" customHeight="1" thickBot="1" x14ac:dyDescent="0.5">
      <c r="B15" s="475" t="s">
        <v>1148</v>
      </c>
      <c r="C15" s="476"/>
      <c r="D15" s="477"/>
      <c r="E15" s="21"/>
      <c r="F15" s="475"/>
      <c r="G15" s="476"/>
      <c r="H15" s="477"/>
      <c r="J15" s="27" t="s">
        <v>11</v>
      </c>
      <c r="K15" s="495"/>
      <c r="L15" s="496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384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2" t="s">
        <v>775</v>
      </c>
      <c r="D18" s="556" t="str">
        <f>VLOOKUP(C18,'Sales Master'!B$3:D$537,2,)</f>
        <v>Sweet Potato Powder 番薯粉</v>
      </c>
      <c r="E18" s="556"/>
      <c r="F18" s="556"/>
      <c r="G18" s="17">
        <v>1</v>
      </c>
      <c r="H18" s="85" t="str">
        <f>VLOOKUP(C18,'Sales Master'!$B$3:$F$2488,5,0)</f>
        <v>3 kgs</v>
      </c>
      <c r="I18" s="208" t="str">
        <f>VLOOKUP(C18,'Sales Master'!$B$3:$E$2488,4,0)</f>
        <v>RE-PACK</v>
      </c>
      <c r="J18" s="208"/>
      <c r="K18" s="30">
        <f>VLOOKUP(C18,'Sales Master'!$B$3:$T3010,19,0)</f>
        <v>10.5</v>
      </c>
      <c r="L18" s="31">
        <f>K18*G18</f>
        <v>10.5</v>
      </c>
    </row>
    <row r="19" spans="2:13" ht="20.149999999999999" customHeight="1" x14ac:dyDescent="0.45">
      <c r="B19" s="29"/>
      <c r="C19" s="212" t="s">
        <v>966</v>
      </c>
      <c r="D19" s="487" t="str">
        <f>VLOOKUP(C19,'Sales Master'!B$3:D$537,2,)</f>
        <v>Coconut Milk 椰浆</v>
      </c>
      <c r="E19" s="487"/>
      <c r="F19" s="487"/>
      <c r="G19" s="17">
        <v>2</v>
      </c>
      <c r="H19" s="85" t="str">
        <f>VLOOKUP(C19,'Sales Master'!$B$3:$F$2488,5,0)</f>
        <v>(1L x 12bag)/箱</v>
      </c>
      <c r="I19" s="208" t="str">
        <f>VLOOKUP(C19,'Sales Master'!$B$3:$E$2488,4,0)</f>
        <v>Kara UHT</v>
      </c>
      <c r="J19" s="208"/>
      <c r="K19" s="30">
        <f>VLOOKUP(C19,'Sales Master'!$B$3:$T3011,19,0)</f>
        <v>54</v>
      </c>
      <c r="L19" s="31">
        <f>K19*G19</f>
        <v>108</v>
      </c>
    </row>
    <row r="20" spans="2:13" ht="20.149999999999999" customHeight="1" x14ac:dyDescent="0.45">
      <c r="B20" s="29"/>
      <c r="C20" s="212"/>
      <c r="G20" s="17"/>
      <c r="H20" s="85"/>
      <c r="I20" s="208"/>
      <c r="J20" s="208"/>
      <c r="K20" s="30"/>
      <c r="L20" s="31"/>
    </row>
    <row r="21" spans="2:13" ht="20.149999999999999" customHeight="1" x14ac:dyDescent="0.45">
      <c r="B21" s="29"/>
      <c r="C21" s="212"/>
      <c r="G21" s="17"/>
      <c r="H21" s="85"/>
      <c r="I21" s="208"/>
      <c r="J21" s="208"/>
      <c r="K21" s="30"/>
      <c r="L21" s="31"/>
    </row>
    <row r="22" spans="2:13" ht="20.149999999999999" customHeight="1" x14ac:dyDescent="0.45">
      <c r="B22" s="29"/>
      <c r="C22" s="212"/>
      <c r="G22" s="17"/>
      <c r="H22" s="85"/>
      <c r="I22" s="208"/>
      <c r="J22" s="208"/>
      <c r="K22" s="30"/>
      <c r="L22" s="31"/>
    </row>
    <row r="23" spans="2:13" ht="20.149999999999999" customHeight="1" x14ac:dyDescent="0.45">
      <c r="B23" s="29"/>
      <c r="C23" s="212"/>
      <c r="G23" s="17"/>
      <c r="H23" s="85"/>
      <c r="I23" s="208"/>
      <c r="J23" s="208"/>
      <c r="K23" s="30"/>
      <c r="L23" s="31"/>
    </row>
    <row r="24" spans="2:13" ht="20.149999999999999" customHeight="1" x14ac:dyDescent="0.45">
      <c r="B24" s="29"/>
      <c r="C24" s="212"/>
      <c r="G24" s="17"/>
      <c r="H24" s="85"/>
      <c r="I24" s="208"/>
      <c r="J24" s="208"/>
      <c r="K24" s="30"/>
      <c r="L24" s="31"/>
    </row>
    <row r="25" spans="2:13" ht="20.149999999999999" customHeight="1" x14ac:dyDescent="0.45">
      <c r="B25" s="29"/>
      <c r="C25" s="212"/>
      <c r="G25" s="17"/>
      <c r="H25" s="85"/>
      <c r="I25" s="208"/>
      <c r="J25" s="208"/>
      <c r="K25" s="30"/>
      <c r="L25" s="31"/>
    </row>
    <row r="26" spans="2:13" ht="20.149999999999999" customHeight="1" x14ac:dyDescent="0.45">
      <c r="B26" s="29"/>
      <c r="C26" s="212"/>
      <c r="D26" s="498"/>
      <c r="E26" s="498"/>
      <c r="F26" s="498"/>
      <c r="G26" s="17"/>
      <c r="H26" s="85"/>
      <c r="I26" s="484"/>
      <c r="J26" s="484"/>
      <c r="K26" s="30"/>
      <c r="L26" s="31"/>
    </row>
    <row r="27" spans="2:13" ht="20.149999999999999" customHeight="1" x14ac:dyDescent="0.45">
      <c r="B27" s="29"/>
      <c r="C27" s="212"/>
      <c r="D27" s="487"/>
      <c r="E27" s="487"/>
      <c r="F27" s="487"/>
      <c r="G27" s="17"/>
      <c r="H27" s="85"/>
      <c r="I27" s="484"/>
      <c r="J27" s="484"/>
      <c r="K27" s="30"/>
      <c r="L27" s="31"/>
    </row>
    <row r="28" spans="2:13" ht="20.149999999999999" customHeight="1" x14ac:dyDescent="0.45">
      <c r="B28" s="29"/>
      <c r="C28" s="17"/>
      <c r="D28" s="487"/>
      <c r="E28" s="487"/>
      <c r="F28" s="487"/>
      <c r="G28" s="17"/>
      <c r="H28" s="17"/>
      <c r="I28" s="17"/>
      <c r="J28" s="17"/>
      <c r="K28" s="30"/>
      <c r="L28" s="31"/>
    </row>
    <row r="29" spans="2:13" ht="20.149999999999999" customHeight="1" thickBot="1" x14ac:dyDescent="0.5">
      <c r="B29" s="32"/>
      <c r="C29" s="33"/>
      <c r="D29" s="488"/>
      <c r="E29" s="488"/>
      <c r="F29" s="488"/>
      <c r="G29" s="33"/>
      <c r="H29" s="33"/>
      <c r="I29" s="33"/>
      <c r="J29" s="33"/>
      <c r="K29" s="34"/>
      <c r="L29" s="35"/>
    </row>
    <row r="30" spans="2:13" ht="20.149999999999999" customHeight="1" thickBot="1" x14ac:dyDescent="0.5">
      <c r="B30" s="36"/>
      <c r="L30" s="37"/>
    </row>
    <row r="31" spans="2:1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89" t="s">
        <v>13</v>
      </c>
      <c r="K31" s="490"/>
      <c r="L31" s="38">
        <f>SUM(L17:L29)</f>
        <v>118.5</v>
      </c>
      <c r="M31" s="63">
        <f>SUM(P18:P27)-L31*0.02</f>
        <v>-2.37</v>
      </c>
    </row>
    <row r="32" spans="2:1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91" t="s">
        <v>19</v>
      </c>
      <c r="K33" s="492"/>
      <c r="L33" s="41">
        <f>L31-L32</f>
        <v>118.5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10.664999999999999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85" t="s">
        <v>21</v>
      </c>
      <c r="K35" s="486"/>
      <c r="L35" s="43">
        <f>L33+L34</f>
        <v>129.16499999999999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26">
    <mergeCell ref="D18:F18"/>
    <mergeCell ref="I17:J17"/>
    <mergeCell ref="D17:F17"/>
    <mergeCell ref="J35:K35"/>
    <mergeCell ref="D28:F28"/>
    <mergeCell ref="D29:F29"/>
    <mergeCell ref="J31:K31"/>
    <mergeCell ref="J33:K33"/>
    <mergeCell ref="D27:F27"/>
    <mergeCell ref="I27:J27"/>
    <mergeCell ref="D26:F26"/>
    <mergeCell ref="I26:J26"/>
    <mergeCell ref="D19:F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245</vt:i4>
      </vt:variant>
      <vt:variant>
        <vt:lpstr>Named Ranges</vt:lpstr>
      </vt:variant>
      <vt:variant>
        <vt:i4>245</vt:i4>
      </vt:variant>
    </vt:vector>
  </HeadingPairs>
  <TitlesOfParts>
    <vt:vector size="490" baseType="lpstr">
      <vt:lpstr>Sales Master</vt:lpstr>
      <vt:lpstr>Delivery Location</vt:lpstr>
      <vt:lpstr>#01</vt:lpstr>
      <vt:lpstr>#02</vt:lpstr>
      <vt:lpstr>#03</vt:lpstr>
      <vt:lpstr>#04</vt:lpstr>
      <vt:lpstr>#05</vt:lpstr>
      <vt:lpstr>#06</vt:lpstr>
      <vt:lpstr>#07</vt:lpstr>
      <vt:lpstr>#08</vt:lpstr>
      <vt:lpstr>#09</vt:lpstr>
      <vt:lpstr>#10</vt:lpstr>
      <vt:lpstr>#12</vt:lpstr>
      <vt:lpstr>#13</vt:lpstr>
      <vt:lpstr>#13 (2)</vt:lpstr>
      <vt:lpstr>#15</vt:lpstr>
      <vt:lpstr>#16</vt:lpstr>
      <vt:lpstr>#17</vt:lpstr>
      <vt:lpstr>#18</vt:lpstr>
      <vt:lpstr>#19</vt:lpstr>
      <vt:lpstr>#20</vt:lpstr>
      <vt:lpstr>#21</vt:lpstr>
      <vt:lpstr>#22</vt:lpstr>
      <vt:lpstr>#23</vt:lpstr>
      <vt:lpstr>#24</vt:lpstr>
      <vt:lpstr>#25</vt:lpstr>
      <vt:lpstr>#27</vt:lpstr>
      <vt:lpstr>#28</vt:lpstr>
      <vt:lpstr>#29</vt:lpstr>
      <vt:lpstr>#31</vt:lpstr>
      <vt:lpstr>#32</vt:lpstr>
      <vt:lpstr>#33</vt:lpstr>
      <vt:lpstr>#34</vt:lpstr>
      <vt:lpstr>#36</vt:lpstr>
      <vt:lpstr>#37</vt:lpstr>
      <vt:lpstr>#38</vt:lpstr>
      <vt:lpstr>#39</vt:lpstr>
      <vt:lpstr>#40</vt:lpstr>
      <vt:lpstr>#41</vt:lpstr>
      <vt:lpstr>#42</vt:lpstr>
      <vt:lpstr>#43</vt:lpstr>
      <vt:lpstr>#44</vt:lpstr>
      <vt:lpstr>#46</vt:lpstr>
      <vt:lpstr>#47</vt:lpstr>
      <vt:lpstr>#48</vt:lpstr>
      <vt:lpstr>#49</vt:lpstr>
      <vt:lpstr>#50</vt:lpstr>
      <vt:lpstr>#51</vt:lpstr>
      <vt:lpstr>#52</vt:lpstr>
      <vt:lpstr>#54</vt:lpstr>
      <vt:lpstr>#55</vt:lpstr>
      <vt:lpstr>#56</vt:lpstr>
      <vt:lpstr>#57</vt:lpstr>
      <vt:lpstr>#58</vt:lpstr>
      <vt:lpstr>#59</vt:lpstr>
      <vt:lpstr>#60</vt:lpstr>
      <vt:lpstr>#61</vt:lpstr>
      <vt:lpstr>#62</vt:lpstr>
      <vt:lpstr>#63</vt:lpstr>
      <vt:lpstr>#64</vt:lpstr>
      <vt:lpstr>#65</vt:lpstr>
      <vt:lpstr>#67</vt:lpstr>
      <vt:lpstr>#68</vt:lpstr>
      <vt:lpstr>#69</vt:lpstr>
      <vt:lpstr>#70</vt:lpstr>
      <vt:lpstr>#71</vt:lpstr>
      <vt:lpstr>#73</vt:lpstr>
      <vt:lpstr>#74</vt:lpstr>
      <vt:lpstr>#75</vt:lpstr>
      <vt:lpstr>#76</vt:lpstr>
      <vt:lpstr>#77</vt:lpstr>
      <vt:lpstr>#78</vt:lpstr>
      <vt:lpstr>#78 (2)</vt:lpstr>
      <vt:lpstr>#79</vt:lpstr>
      <vt:lpstr>#80</vt:lpstr>
      <vt:lpstr>#81</vt:lpstr>
      <vt:lpstr>#84</vt:lpstr>
      <vt:lpstr>#85</vt:lpstr>
      <vt:lpstr>#86</vt:lpstr>
      <vt:lpstr>#87</vt:lpstr>
      <vt:lpstr>#88</vt:lpstr>
      <vt:lpstr>#89</vt:lpstr>
      <vt:lpstr>#89 (2)</vt:lpstr>
      <vt:lpstr>#90</vt:lpstr>
      <vt:lpstr>#91</vt:lpstr>
      <vt:lpstr>#92</vt:lpstr>
      <vt:lpstr>#93</vt:lpstr>
      <vt:lpstr>#94</vt:lpstr>
      <vt:lpstr>#95</vt:lpstr>
      <vt:lpstr>#96</vt:lpstr>
      <vt:lpstr>#97</vt:lpstr>
      <vt:lpstr>#99</vt:lpstr>
      <vt:lpstr>#100</vt:lpstr>
      <vt:lpstr>#101</vt:lpstr>
      <vt:lpstr>#103</vt:lpstr>
      <vt:lpstr>#104</vt:lpstr>
      <vt:lpstr>#105</vt:lpstr>
      <vt:lpstr>#106</vt:lpstr>
      <vt:lpstr>#107</vt:lpstr>
      <vt:lpstr>#108</vt:lpstr>
      <vt:lpstr>#109</vt:lpstr>
      <vt:lpstr>#110</vt:lpstr>
      <vt:lpstr>#111</vt:lpstr>
      <vt:lpstr>#112</vt:lpstr>
      <vt:lpstr>#113</vt:lpstr>
      <vt:lpstr>#114</vt:lpstr>
      <vt:lpstr>#115</vt:lpstr>
      <vt:lpstr>#116</vt:lpstr>
      <vt:lpstr>#117</vt:lpstr>
      <vt:lpstr>#120</vt:lpstr>
      <vt:lpstr>#121</vt:lpstr>
      <vt:lpstr>#122</vt:lpstr>
      <vt:lpstr>#123</vt:lpstr>
      <vt:lpstr>#124</vt:lpstr>
      <vt:lpstr>#125</vt:lpstr>
      <vt:lpstr>#126</vt:lpstr>
      <vt:lpstr>#127</vt:lpstr>
      <vt:lpstr>#128</vt:lpstr>
      <vt:lpstr>#129</vt:lpstr>
      <vt:lpstr>#130</vt:lpstr>
      <vt:lpstr>#131</vt:lpstr>
      <vt:lpstr>#132</vt:lpstr>
      <vt:lpstr>#133</vt:lpstr>
      <vt:lpstr>#134</vt:lpstr>
      <vt:lpstr>#135</vt:lpstr>
      <vt:lpstr>#137</vt:lpstr>
      <vt:lpstr>#140</vt:lpstr>
      <vt:lpstr>#142</vt:lpstr>
      <vt:lpstr>#143</vt:lpstr>
      <vt:lpstr>#144</vt:lpstr>
      <vt:lpstr>#145</vt:lpstr>
      <vt:lpstr>#146</vt:lpstr>
      <vt:lpstr>#147</vt:lpstr>
      <vt:lpstr>#148</vt:lpstr>
      <vt:lpstr>#150</vt:lpstr>
      <vt:lpstr>#151</vt:lpstr>
      <vt:lpstr>#152</vt:lpstr>
      <vt:lpstr>#153</vt:lpstr>
      <vt:lpstr>#154</vt:lpstr>
      <vt:lpstr>#155</vt:lpstr>
      <vt:lpstr>#156</vt:lpstr>
      <vt:lpstr>#157</vt:lpstr>
      <vt:lpstr>#158</vt:lpstr>
      <vt:lpstr>#159</vt:lpstr>
      <vt:lpstr>#160</vt:lpstr>
      <vt:lpstr>#162</vt:lpstr>
      <vt:lpstr>#163</vt:lpstr>
      <vt:lpstr>#164</vt:lpstr>
      <vt:lpstr>#165</vt:lpstr>
      <vt:lpstr>#166</vt:lpstr>
      <vt:lpstr>#166 (2)</vt:lpstr>
      <vt:lpstr>#167</vt:lpstr>
      <vt:lpstr>#168</vt:lpstr>
      <vt:lpstr>#169</vt:lpstr>
      <vt:lpstr>#170</vt:lpstr>
      <vt:lpstr>#171</vt:lpstr>
      <vt:lpstr>#172</vt:lpstr>
      <vt:lpstr>#173</vt:lpstr>
      <vt:lpstr>#173 (2)</vt:lpstr>
      <vt:lpstr>#174</vt:lpstr>
      <vt:lpstr>#175</vt:lpstr>
      <vt:lpstr>#176</vt:lpstr>
      <vt:lpstr>#178</vt:lpstr>
      <vt:lpstr>#179</vt:lpstr>
      <vt:lpstr>#181</vt:lpstr>
      <vt:lpstr>#182</vt:lpstr>
      <vt:lpstr>#185</vt:lpstr>
      <vt:lpstr>#186</vt:lpstr>
      <vt:lpstr>#187</vt:lpstr>
      <vt:lpstr>#188</vt:lpstr>
      <vt:lpstr>#189</vt:lpstr>
      <vt:lpstr>#190</vt:lpstr>
      <vt:lpstr>#191</vt:lpstr>
      <vt:lpstr>#193</vt:lpstr>
      <vt:lpstr>#194</vt:lpstr>
      <vt:lpstr>#195</vt:lpstr>
      <vt:lpstr>#196</vt:lpstr>
      <vt:lpstr>#197</vt:lpstr>
      <vt:lpstr>#198</vt:lpstr>
      <vt:lpstr>#199</vt:lpstr>
      <vt:lpstr>#200</vt:lpstr>
      <vt:lpstr>#201</vt:lpstr>
      <vt:lpstr>#202</vt:lpstr>
      <vt:lpstr>#203</vt:lpstr>
      <vt:lpstr>#204</vt:lpstr>
      <vt:lpstr>#205</vt:lpstr>
      <vt:lpstr>#207</vt:lpstr>
      <vt:lpstr>#208</vt:lpstr>
      <vt:lpstr>#210</vt:lpstr>
      <vt:lpstr>#211</vt:lpstr>
      <vt:lpstr>#212</vt:lpstr>
      <vt:lpstr>#213</vt:lpstr>
      <vt:lpstr>#213 (2)</vt:lpstr>
      <vt:lpstr>#214</vt:lpstr>
      <vt:lpstr>#215</vt:lpstr>
      <vt:lpstr>#216</vt:lpstr>
      <vt:lpstr>#217</vt:lpstr>
      <vt:lpstr>#218</vt:lpstr>
      <vt:lpstr>#219</vt:lpstr>
      <vt:lpstr>#221</vt:lpstr>
      <vt:lpstr>#222</vt:lpstr>
      <vt:lpstr>#223</vt:lpstr>
      <vt:lpstr>#224</vt:lpstr>
      <vt:lpstr>#225</vt:lpstr>
      <vt:lpstr>#226</vt:lpstr>
      <vt:lpstr>#227</vt:lpstr>
      <vt:lpstr>#228</vt:lpstr>
      <vt:lpstr>#229</vt:lpstr>
      <vt:lpstr>#230</vt:lpstr>
      <vt:lpstr>#231</vt:lpstr>
      <vt:lpstr>#232</vt:lpstr>
      <vt:lpstr>#233</vt:lpstr>
      <vt:lpstr>#234</vt:lpstr>
      <vt:lpstr>#235</vt:lpstr>
      <vt:lpstr>#236</vt:lpstr>
      <vt:lpstr>#237</vt:lpstr>
      <vt:lpstr>#238</vt:lpstr>
      <vt:lpstr>#239</vt:lpstr>
      <vt:lpstr>#240</vt:lpstr>
      <vt:lpstr>#241</vt:lpstr>
      <vt:lpstr>#242</vt:lpstr>
      <vt:lpstr>#243</vt:lpstr>
      <vt:lpstr>#244</vt:lpstr>
      <vt:lpstr>#244 (2)</vt:lpstr>
      <vt:lpstr>#245</vt:lpstr>
      <vt:lpstr>#246</vt:lpstr>
      <vt:lpstr>#247</vt:lpstr>
      <vt:lpstr>#248</vt:lpstr>
      <vt:lpstr>#249</vt:lpstr>
      <vt:lpstr>#250</vt:lpstr>
      <vt:lpstr>#251</vt:lpstr>
      <vt:lpstr>#252</vt:lpstr>
      <vt:lpstr>#253</vt:lpstr>
      <vt:lpstr>#254</vt:lpstr>
      <vt:lpstr>#255</vt:lpstr>
      <vt:lpstr>#255 (2)</vt:lpstr>
      <vt:lpstr>#261</vt:lpstr>
      <vt:lpstr>#261 (4)</vt:lpstr>
      <vt:lpstr>#261 (2)</vt:lpstr>
      <vt:lpstr>#261 (3)</vt:lpstr>
      <vt:lpstr>SAMPLE</vt:lpstr>
      <vt:lpstr>#30</vt:lpstr>
      <vt:lpstr>sEFONG</vt:lpstr>
      <vt:lpstr>City Energy</vt:lpstr>
      <vt:lpstr>Sheet1</vt:lpstr>
      <vt:lpstr>'#01'!Print_Area</vt:lpstr>
      <vt:lpstr>'#02'!Print_Area</vt:lpstr>
      <vt:lpstr>'#03'!Print_Area</vt:lpstr>
      <vt:lpstr>'#04'!Print_Area</vt:lpstr>
      <vt:lpstr>'#05'!Print_Area</vt:lpstr>
      <vt:lpstr>'#06'!Print_Area</vt:lpstr>
      <vt:lpstr>'#07'!Print_Area</vt:lpstr>
      <vt:lpstr>'#08'!Print_Area</vt:lpstr>
      <vt:lpstr>'#09'!Print_Area</vt:lpstr>
      <vt:lpstr>'#10'!Print_Area</vt:lpstr>
      <vt:lpstr>'#100'!Print_Area</vt:lpstr>
      <vt:lpstr>'#101'!Print_Area</vt:lpstr>
      <vt:lpstr>'#103'!Print_Area</vt:lpstr>
      <vt:lpstr>'#104'!Print_Area</vt:lpstr>
      <vt:lpstr>'#105'!Print_Area</vt:lpstr>
      <vt:lpstr>'#106'!Print_Area</vt:lpstr>
      <vt:lpstr>'#107'!Print_Area</vt:lpstr>
      <vt:lpstr>'#108'!Print_Area</vt:lpstr>
      <vt:lpstr>'#109'!Print_Area</vt:lpstr>
      <vt:lpstr>'#110'!Print_Area</vt:lpstr>
      <vt:lpstr>'#111'!Print_Area</vt:lpstr>
      <vt:lpstr>'#112'!Print_Area</vt:lpstr>
      <vt:lpstr>'#113'!Print_Area</vt:lpstr>
      <vt:lpstr>'#114'!Print_Area</vt:lpstr>
      <vt:lpstr>'#115'!Print_Area</vt:lpstr>
      <vt:lpstr>'#116'!Print_Area</vt:lpstr>
      <vt:lpstr>'#117'!Print_Area</vt:lpstr>
      <vt:lpstr>'#12'!Print_Area</vt:lpstr>
      <vt:lpstr>'#120'!Print_Area</vt:lpstr>
      <vt:lpstr>'#121'!Print_Area</vt:lpstr>
      <vt:lpstr>'#122'!Print_Area</vt:lpstr>
      <vt:lpstr>'#123'!Print_Area</vt:lpstr>
      <vt:lpstr>'#124'!Print_Area</vt:lpstr>
      <vt:lpstr>'#125'!Print_Area</vt:lpstr>
      <vt:lpstr>'#126'!Print_Area</vt:lpstr>
      <vt:lpstr>'#127'!Print_Area</vt:lpstr>
      <vt:lpstr>'#128'!Print_Area</vt:lpstr>
      <vt:lpstr>'#129'!Print_Area</vt:lpstr>
      <vt:lpstr>'#13'!Print_Area</vt:lpstr>
      <vt:lpstr>'#13 (2)'!Print_Area</vt:lpstr>
      <vt:lpstr>'#130'!Print_Area</vt:lpstr>
      <vt:lpstr>'#131'!Print_Area</vt:lpstr>
      <vt:lpstr>'#132'!Print_Area</vt:lpstr>
      <vt:lpstr>'#133'!Print_Area</vt:lpstr>
      <vt:lpstr>'#134'!Print_Area</vt:lpstr>
      <vt:lpstr>'#135'!Print_Area</vt:lpstr>
      <vt:lpstr>'#137'!Print_Area</vt:lpstr>
      <vt:lpstr>'#140'!Print_Area</vt:lpstr>
      <vt:lpstr>'#142'!Print_Area</vt:lpstr>
      <vt:lpstr>'#143'!Print_Area</vt:lpstr>
      <vt:lpstr>'#144'!Print_Area</vt:lpstr>
      <vt:lpstr>'#145'!Print_Area</vt:lpstr>
      <vt:lpstr>'#146'!Print_Area</vt:lpstr>
      <vt:lpstr>'#147'!Print_Area</vt:lpstr>
      <vt:lpstr>'#148'!Print_Area</vt:lpstr>
      <vt:lpstr>'#15'!Print_Area</vt:lpstr>
      <vt:lpstr>'#150'!Print_Area</vt:lpstr>
      <vt:lpstr>'#151'!Print_Area</vt:lpstr>
      <vt:lpstr>'#152'!Print_Area</vt:lpstr>
      <vt:lpstr>'#153'!Print_Area</vt:lpstr>
      <vt:lpstr>'#154'!Print_Area</vt:lpstr>
      <vt:lpstr>'#155'!Print_Area</vt:lpstr>
      <vt:lpstr>'#156'!Print_Area</vt:lpstr>
      <vt:lpstr>'#157'!Print_Area</vt:lpstr>
      <vt:lpstr>'#158'!Print_Area</vt:lpstr>
      <vt:lpstr>'#159'!Print_Area</vt:lpstr>
      <vt:lpstr>'#16'!Print_Area</vt:lpstr>
      <vt:lpstr>'#160'!Print_Area</vt:lpstr>
      <vt:lpstr>'#162'!Print_Area</vt:lpstr>
      <vt:lpstr>'#163'!Print_Area</vt:lpstr>
      <vt:lpstr>'#164'!Print_Area</vt:lpstr>
      <vt:lpstr>'#165'!Print_Area</vt:lpstr>
      <vt:lpstr>'#166'!Print_Area</vt:lpstr>
      <vt:lpstr>'#166 (2)'!Print_Area</vt:lpstr>
      <vt:lpstr>'#167'!Print_Area</vt:lpstr>
      <vt:lpstr>'#168'!Print_Area</vt:lpstr>
      <vt:lpstr>'#169'!Print_Area</vt:lpstr>
      <vt:lpstr>'#17'!Print_Area</vt:lpstr>
      <vt:lpstr>'#170'!Print_Area</vt:lpstr>
      <vt:lpstr>'#171'!Print_Area</vt:lpstr>
      <vt:lpstr>'#172'!Print_Area</vt:lpstr>
      <vt:lpstr>'#173'!Print_Area</vt:lpstr>
      <vt:lpstr>'#173 (2)'!Print_Area</vt:lpstr>
      <vt:lpstr>'#174'!Print_Area</vt:lpstr>
      <vt:lpstr>'#175'!Print_Area</vt:lpstr>
      <vt:lpstr>'#176'!Print_Area</vt:lpstr>
      <vt:lpstr>'#178'!Print_Area</vt:lpstr>
      <vt:lpstr>'#179'!Print_Area</vt:lpstr>
      <vt:lpstr>'#18'!Print_Area</vt:lpstr>
      <vt:lpstr>'#181'!Print_Area</vt:lpstr>
      <vt:lpstr>'#182'!Print_Area</vt:lpstr>
      <vt:lpstr>'#185'!Print_Area</vt:lpstr>
      <vt:lpstr>'#186'!Print_Area</vt:lpstr>
      <vt:lpstr>'#187'!Print_Area</vt:lpstr>
      <vt:lpstr>'#188'!Print_Area</vt:lpstr>
      <vt:lpstr>'#189'!Print_Area</vt:lpstr>
      <vt:lpstr>'#19'!Print_Area</vt:lpstr>
      <vt:lpstr>'#190'!Print_Area</vt:lpstr>
      <vt:lpstr>'#191'!Print_Area</vt:lpstr>
      <vt:lpstr>'#193'!Print_Area</vt:lpstr>
      <vt:lpstr>'#194'!Print_Area</vt:lpstr>
      <vt:lpstr>'#195'!Print_Area</vt:lpstr>
      <vt:lpstr>'#196'!Print_Area</vt:lpstr>
      <vt:lpstr>'#197'!Print_Area</vt:lpstr>
      <vt:lpstr>'#198'!Print_Area</vt:lpstr>
      <vt:lpstr>'#199'!Print_Area</vt:lpstr>
      <vt:lpstr>'#20'!Print_Area</vt:lpstr>
      <vt:lpstr>'#200'!Print_Area</vt:lpstr>
      <vt:lpstr>'#201'!Print_Area</vt:lpstr>
      <vt:lpstr>'#202'!Print_Area</vt:lpstr>
      <vt:lpstr>'#203'!Print_Area</vt:lpstr>
      <vt:lpstr>'#204'!Print_Area</vt:lpstr>
      <vt:lpstr>'#205'!Print_Area</vt:lpstr>
      <vt:lpstr>'#207'!Print_Area</vt:lpstr>
      <vt:lpstr>'#208'!Print_Area</vt:lpstr>
      <vt:lpstr>'#21'!Print_Area</vt:lpstr>
      <vt:lpstr>'#210'!Print_Area</vt:lpstr>
      <vt:lpstr>'#211'!Print_Area</vt:lpstr>
      <vt:lpstr>'#212'!Print_Area</vt:lpstr>
      <vt:lpstr>'#213'!Print_Area</vt:lpstr>
      <vt:lpstr>'#213 (2)'!Print_Area</vt:lpstr>
      <vt:lpstr>'#214'!Print_Area</vt:lpstr>
      <vt:lpstr>'#215'!Print_Area</vt:lpstr>
      <vt:lpstr>'#216'!Print_Area</vt:lpstr>
      <vt:lpstr>'#217'!Print_Area</vt:lpstr>
      <vt:lpstr>'#218'!Print_Area</vt:lpstr>
      <vt:lpstr>'#219'!Print_Area</vt:lpstr>
      <vt:lpstr>'#22'!Print_Area</vt:lpstr>
      <vt:lpstr>'#221'!Print_Area</vt:lpstr>
      <vt:lpstr>'#222'!Print_Area</vt:lpstr>
      <vt:lpstr>'#223'!Print_Area</vt:lpstr>
      <vt:lpstr>'#224'!Print_Area</vt:lpstr>
      <vt:lpstr>'#225'!Print_Area</vt:lpstr>
      <vt:lpstr>'#226'!Print_Area</vt:lpstr>
      <vt:lpstr>'#227'!Print_Area</vt:lpstr>
      <vt:lpstr>'#228'!Print_Area</vt:lpstr>
      <vt:lpstr>'#229'!Print_Area</vt:lpstr>
      <vt:lpstr>'#23'!Print_Area</vt:lpstr>
      <vt:lpstr>'#230'!Print_Area</vt:lpstr>
      <vt:lpstr>'#231'!Print_Area</vt:lpstr>
      <vt:lpstr>'#232'!Print_Area</vt:lpstr>
      <vt:lpstr>'#233'!Print_Area</vt:lpstr>
      <vt:lpstr>'#234'!Print_Area</vt:lpstr>
      <vt:lpstr>'#235'!Print_Area</vt:lpstr>
      <vt:lpstr>'#236'!Print_Area</vt:lpstr>
      <vt:lpstr>'#237'!Print_Area</vt:lpstr>
      <vt:lpstr>'#238'!Print_Area</vt:lpstr>
      <vt:lpstr>'#239'!Print_Area</vt:lpstr>
      <vt:lpstr>'#24'!Print_Area</vt:lpstr>
      <vt:lpstr>'#240'!Print_Area</vt:lpstr>
      <vt:lpstr>'#241'!Print_Area</vt:lpstr>
      <vt:lpstr>'#242'!Print_Area</vt:lpstr>
      <vt:lpstr>'#243'!Print_Area</vt:lpstr>
      <vt:lpstr>'#244'!Print_Area</vt:lpstr>
      <vt:lpstr>'#244 (2)'!Print_Area</vt:lpstr>
      <vt:lpstr>'#245'!Print_Area</vt:lpstr>
      <vt:lpstr>'#246'!Print_Area</vt:lpstr>
      <vt:lpstr>'#247'!Print_Area</vt:lpstr>
      <vt:lpstr>'#248'!Print_Area</vt:lpstr>
      <vt:lpstr>'#249'!Print_Area</vt:lpstr>
      <vt:lpstr>'#25'!Print_Area</vt:lpstr>
      <vt:lpstr>'#250'!Print_Area</vt:lpstr>
      <vt:lpstr>'#251'!Print_Area</vt:lpstr>
      <vt:lpstr>'#252'!Print_Area</vt:lpstr>
      <vt:lpstr>'#253'!Print_Area</vt:lpstr>
      <vt:lpstr>'#254'!Print_Area</vt:lpstr>
      <vt:lpstr>'#255'!Print_Area</vt:lpstr>
      <vt:lpstr>'#255 (2)'!Print_Area</vt:lpstr>
      <vt:lpstr>'#261'!Print_Area</vt:lpstr>
      <vt:lpstr>'#261 (2)'!Print_Area</vt:lpstr>
      <vt:lpstr>'#261 (3)'!Print_Area</vt:lpstr>
      <vt:lpstr>'#261 (4)'!Print_Area</vt:lpstr>
      <vt:lpstr>'#27'!Print_Area</vt:lpstr>
      <vt:lpstr>'#28'!Print_Area</vt:lpstr>
      <vt:lpstr>'#29'!Print_Area</vt:lpstr>
      <vt:lpstr>'#30'!Print_Area</vt:lpstr>
      <vt:lpstr>'#31'!Print_Area</vt:lpstr>
      <vt:lpstr>'#32'!Print_Area</vt:lpstr>
      <vt:lpstr>'#33'!Print_Area</vt:lpstr>
      <vt:lpstr>'#34'!Print_Area</vt:lpstr>
      <vt:lpstr>'#36'!Print_Area</vt:lpstr>
      <vt:lpstr>'#37'!Print_Area</vt:lpstr>
      <vt:lpstr>'#38'!Print_Area</vt:lpstr>
      <vt:lpstr>'#39'!Print_Area</vt:lpstr>
      <vt:lpstr>'#40'!Print_Area</vt:lpstr>
      <vt:lpstr>'#41'!Print_Area</vt:lpstr>
      <vt:lpstr>'#42'!Print_Area</vt:lpstr>
      <vt:lpstr>'#43'!Print_Area</vt:lpstr>
      <vt:lpstr>'#44'!Print_Area</vt:lpstr>
      <vt:lpstr>'#46'!Print_Area</vt:lpstr>
      <vt:lpstr>'#47'!Print_Area</vt:lpstr>
      <vt:lpstr>'#48'!Print_Area</vt:lpstr>
      <vt:lpstr>'#49'!Print_Area</vt:lpstr>
      <vt:lpstr>'#50'!Print_Area</vt:lpstr>
      <vt:lpstr>'#51'!Print_Area</vt:lpstr>
      <vt:lpstr>'#52'!Print_Area</vt:lpstr>
      <vt:lpstr>'#54'!Print_Area</vt:lpstr>
      <vt:lpstr>'#55'!Print_Area</vt:lpstr>
      <vt:lpstr>'#56'!Print_Area</vt:lpstr>
      <vt:lpstr>'#57'!Print_Area</vt:lpstr>
      <vt:lpstr>'#58'!Print_Area</vt:lpstr>
      <vt:lpstr>'#59'!Print_Area</vt:lpstr>
      <vt:lpstr>'#60'!Print_Area</vt:lpstr>
      <vt:lpstr>'#61'!Print_Area</vt:lpstr>
      <vt:lpstr>'#62'!Print_Area</vt:lpstr>
      <vt:lpstr>'#63'!Print_Area</vt:lpstr>
      <vt:lpstr>'#64'!Print_Area</vt:lpstr>
      <vt:lpstr>'#65'!Print_Area</vt:lpstr>
      <vt:lpstr>'#67'!Print_Area</vt:lpstr>
      <vt:lpstr>'#68'!Print_Area</vt:lpstr>
      <vt:lpstr>'#69'!Print_Area</vt:lpstr>
      <vt:lpstr>'#70'!Print_Area</vt:lpstr>
      <vt:lpstr>'#71'!Print_Area</vt:lpstr>
      <vt:lpstr>'#73'!Print_Area</vt:lpstr>
      <vt:lpstr>'#74'!Print_Area</vt:lpstr>
      <vt:lpstr>'#75'!Print_Area</vt:lpstr>
      <vt:lpstr>'#76'!Print_Area</vt:lpstr>
      <vt:lpstr>'#77'!Print_Area</vt:lpstr>
      <vt:lpstr>'#78'!Print_Area</vt:lpstr>
      <vt:lpstr>'#78 (2)'!Print_Area</vt:lpstr>
      <vt:lpstr>'#79'!Print_Area</vt:lpstr>
      <vt:lpstr>'#80'!Print_Area</vt:lpstr>
      <vt:lpstr>'#81'!Print_Area</vt:lpstr>
      <vt:lpstr>'#84'!Print_Area</vt:lpstr>
      <vt:lpstr>'#85'!Print_Area</vt:lpstr>
      <vt:lpstr>'#86'!Print_Area</vt:lpstr>
      <vt:lpstr>'#87'!Print_Area</vt:lpstr>
      <vt:lpstr>'#88'!Print_Area</vt:lpstr>
      <vt:lpstr>'#89'!Print_Area</vt:lpstr>
      <vt:lpstr>'#89 (2)'!Print_Area</vt:lpstr>
      <vt:lpstr>'#90'!Print_Area</vt:lpstr>
      <vt:lpstr>'#91'!Print_Area</vt:lpstr>
      <vt:lpstr>'#92'!Print_Area</vt:lpstr>
      <vt:lpstr>'#93'!Print_Area</vt:lpstr>
      <vt:lpstr>'#94'!Print_Area</vt:lpstr>
      <vt:lpstr>'#95'!Print_Area</vt:lpstr>
      <vt:lpstr>'#96'!Print_Area</vt:lpstr>
      <vt:lpstr>'#97'!Print_Area</vt:lpstr>
      <vt:lpstr>'#99'!Print_Area</vt:lpstr>
      <vt:lpstr>'City Energy'!Print_Area</vt:lpstr>
      <vt:lpstr>'Delivery Location'!Print_Area</vt:lpstr>
      <vt:lpstr>'Sales Master'!Print_Area</vt:lpstr>
      <vt:lpstr>SAMPLE!Print_Area</vt:lpstr>
      <vt:lpstr>sEFONG!Print_Area</vt:lpstr>
      <vt:lpstr>'Sales Master'!Print_Titles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Mandy Toh</cp:lastModifiedBy>
  <cp:lastPrinted>2025-04-11T01:22:16Z</cp:lastPrinted>
  <dcterms:created xsi:type="dcterms:W3CDTF">2015-06-05T18:17:20Z</dcterms:created>
  <dcterms:modified xsi:type="dcterms:W3CDTF">2025-04-13T14:52:31Z</dcterms:modified>
</cp:coreProperties>
</file>